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Nathalia\Desktop\"/>
    </mc:Choice>
  </mc:AlternateContent>
  <xr:revisionPtr revIDLastSave="0" documentId="13_ncr:1_{19900DBF-7F64-4445-B8C8-A75B134CAE2E}" xr6:coauthVersionLast="47" xr6:coauthVersionMax="47" xr10:uidLastSave="{00000000-0000-0000-0000-000000000000}"/>
  <workbookProtection workbookAlgorithmName="SHA-512" workbookHashValue="ROUw9MIcdcYjV7HNExuVGSLAoFPUH6zNlT2n1SkftbCe3zATYDIsPljljFI3nRXhSpvlOUvNhfDzc2/jFyD8rQ==" workbookSaltValue="YSRudnUxLht4kYX9GIpx/Q==" workbookSpinCount="100000" lockStructure="1"/>
  <bookViews>
    <workbookView xWindow="-108" yWindow="-108" windowWidth="23256" windowHeight="12456" activeTab="9" xr2:uid="{00000000-000D-0000-FFFF-FFFF00000000}"/>
  </bookViews>
  <sheets>
    <sheet name="Portada" sheetId="18" r:id="rId1"/>
    <sheet name="Usuarios" sheetId="16" r:id="rId2"/>
    <sheet name="Abogados" sheetId="19" r:id="rId3"/>
    <sheet name="Conciliación extrajudicial" sheetId="22" state="hidden" r:id="rId4"/>
    <sheet name="Comité de conciliación" sheetId="24" r:id="rId5"/>
    <sheet name="Judiciales" sheetId="21" r:id="rId6"/>
    <sheet name="Arbitramentos" sheetId="23"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Q4" i="29" l="1"/>
  <c r="CP4" i="29"/>
  <c r="CO4" i="29"/>
  <c r="CN4" i="29"/>
  <c r="CM4" i="29"/>
  <c r="CL4" i="29"/>
  <c r="CK4" i="29"/>
  <c r="CJ4" i="29"/>
  <c r="CI4" i="29"/>
  <c r="CH4" i="29"/>
  <c r="CG4" i="29"/>
  <c r="CF4" i="29"/>
  <c r="CE4" i="29"/>
  <c r="N23"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5" i="28"/>
  <c r="H24" i="28"/>
  <c r="H21" i="28"/>
  <c r="H20" i="28"/>
  <c r="H17" i="28"/>
  <c r="H16" i="28"/>
  <c r="H15" i="28"/>
  <c r="V35" i="21"/>
  <c r="V37" i="21"/>
  <c r="V39" i="21"/>
  <c r="V41" i="21"/>
  <c r="E24" i="28"/>
  <c r="E23" i="28"/>
  <c r="E22" i="28"/>
  <c r="E21" i="28"/>
  <c r="S22" i="19"/>
  <c r="S20" i="19"/>
  <c r="S26" i="19"/>
  <c r="S24" i="19"/>
  <c r="T23" i="16"/>
  <c r="T21" i="16"/>
  <c r="T19" i="16"/>
  <c r="T17" i="16"/>
  <c r="T15" i="16"/>
  <c r="T13" i="16"/>
  <c r="E15" i="28"/>
  <c r="E16" i="28"/>
  <c r="J9" i="28"/>
  <c r="D10" i="28" s="1"/>
  <c r="W33" i="21"/>
  <c r="W20" i="21"/>
  <c r="B16" i="27"/>
  <c r="B19" i="27" s="1"/>
  <c r="L24" i="21"/>
  <c r="BJ4" i="29" s="1"/>
  <c r="K24" i="21"/>
  <c r="N17" i="24"/>
  <c r="N16" i="24"/>
  <c r="H15" i="19"/>
  <c r="I15" i="19" s="1"/>
  <c r="E25" i="28" l="1"/>
  <c r="N25" i="21"/>
  <c r="E33" i="21"/>
  <c r="E18" i="28"/>
  <c r="E23" i="19"/>
  <c r="E17" i="28"/>
  <c r="E17" i="19"/>
  <c r="E19" i="19"/>
  <c r="E21" i="19"/>
  <c r="N27" i="21"/>
  <c r="B17" i="27"/>
  <c r="B18" i="27"/>
  <c r="N10" i="23" s="1"/>
  <c r="W18" i="21"/>
  <c r="E8" i="24"/>
  <c r="D6" i="28"/>
  <c r="J8" i="28"/>
  <c r="B32" i="27"/>
  <c r="E20" i="21" l="1"/>
  <c r="E18" i="21"/>
  <c r="E22" i="21"/>
  <c r="E27" i="21"/>
  <c r="E9" i="21"/>
  <c r="E10" i="23"/>
  <c r="B25" i="27"/>
  <c r="E20" i="22" l="1"/>
  <c r="N8" i="22"/>
  <c r="E7" i="22"/>
  <c r="E22" i="22"/>
  <c r="E15" i="22"/>
  <c r="E17" i="22" s="1"/>
  <c r="E13" i="22"/>
  <c r="E24" i="22"/>
  <c r="B6" i="27"/>
  <c r="B22" i="27"/>
  <c r="W27" i="21" l="1"/>
</calcChain>
</file>

<file path=xl/sharedStrings.xml><?xml version="1.0" encoding="utf-8"?>
<sst xmlns="http://schemas.openxmlformats.org/spreadsheetml/2006/main" count="1422" uniqueCount="663">
  <si>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</si>
  <si>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</si>
  <si>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</si>
  <si>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</si>
  <si>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</si>
  <si>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</si>
  <si>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</si>
  <si>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</si>
  <si>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</si>
  <si>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</si>
  <si>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</si>
  <si>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</si>
  <si>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</si>
  <si>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</si>
  <si>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</si>
  <si>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</si>
  <si>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</si>
  <si>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</si>
  <si>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</si>
  <si>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</si>
  <si>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</si>
  <si>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</si>
  <si>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</si>
  <si>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</si>
  <si>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</si>
  <si>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</si>
  <si>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</si>
  <si>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</si>
  <si>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</si>
  <si>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</si>
  <si>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</si>
  <si>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</si>
  <si>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</si>
  <si>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</si>
  <si>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</si>
  <si>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</si>
  <si>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</si>
  <si>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</si>
  <si>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</si>
  <si>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</si>
  <si>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</si>
  <si>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</si>
  <si>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</si>
  <si>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</si>
  <si>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</si>
  <si>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</si>
  <si>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</si>
  <si>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</si>
  <si>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</si>
  <si>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</si>
  <si>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</si>
  <si>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</si>
  <si>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</si>
  <si>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</si>
  <si>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</si>
  <si>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</si>
  <si>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</si>
  <si>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</si>
  <si>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</si>
  <si>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</si>
  <si>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</si>
  <si>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</si>
  <si>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</si>
  <si>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</si>
  <si>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</si>
  <si>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</si>
  <si>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</si>
  <si>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</si>
  <si>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</si>
  <si>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</si>
  <si>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</si>
  <si>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</si>
  <si>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</si>
  <si>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</si>
  <si>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</si>
  <si>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</si>
  <si>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</si>
  <si>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</si>
  <si>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</si>
  <si>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</si>
  <si>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</si>
  <si>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</si>
  <si>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</si>
  <si>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</si>
  <si>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</si>
  <si>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</si>
  <si>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</si>
  <si>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</si>
  <si>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</si>
  <si>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</si>
  <si>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</si>
  <si>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</si>
  <si>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</si>
  <si>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</si>
  <si>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</si>
  <si>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</si>
  <si>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</si>
  <si>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</si>
  <si>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</si>
  <si>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</si>
  <si>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</si>
  <si>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</si>
  <si>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</si>
  <si>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</si>
  <si>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</si>
  <si>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</si>
  <si>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</si>
  <si>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</si>
  <si>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</si>
  <si>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</si>
  <si>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</si>
  <si>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</si>
  <si>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</si>
  <si>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</si>
  <si>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</si>
  <si>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</si>
  <si>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</si>
  <si>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</si>
  <si>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</si>
  <si>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</si>
  <si>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</si>
  <si>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</si>
  <si>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</si>
  <si>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</si>
  <si>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</si>
  <si>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</si>
  <si>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</si>
  <si>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</si>
  <si>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</si>
  <si>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</si>
  <si>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</si>
  <si>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</si>
  <si>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</si>
  <si>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</si>
  <si>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</si>
  <si>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</si>
  <si>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</si>
  <si>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</si>
  <si>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</si>
  <si>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</si>
  <si>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</si>
  <si>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</si>
  <si>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</si>
  <si>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</si>
  <si>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</si>
  <si>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</si>
  <si>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</si>
  <si>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</si>
  <si>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</si>
  <si>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</si>
  <si>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</si>
  <si>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</si>
  <si>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</si>
  <si>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</si>
  <si>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</si>
  <si>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</si>
  <si>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</si>
  <si>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</si>
  <si>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</si>
  <si>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</si>
  <si>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</si>
  <si>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</si>
  <si>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</si>
  <si>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</si>
  <si>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</si>
  <si>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</si>
  <si>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</si>
  <si>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</si>
  <si>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</si>
  <si>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</si>
  <si>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</si>
  <si>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</si>
  <si>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</si>
  <si>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</si>
  <si>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</si>
  <si>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</si>
  <si>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</si>
  <si>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</si>
  <si>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</si>
  <si>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</si>
  <si>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</si>
  <si>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</si>
  <si>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</si>
  <si>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</si>
  <si>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</si>
  <si>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</si>
  <si>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</si>
  <si>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</si>
  <si>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</si>
  <si>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</si>
  <si>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</si>
  <si>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</si>
  <si>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</si>
  <si>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</si>
  <si>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</si>
  <si>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</si>
  <si>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</si>
  <si>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</si>
  <si>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</si>
  <si>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</si>
  <si>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</si>
  <si>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</si>
  <si>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</si>
  <si>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</si>
  <si>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</si>
  <si>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</si>
  <si>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</si>
  <si>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</si>
  <si>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</si>
  <si>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</si>
  <si>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</si>
  <si>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</si>
  <si>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</si>
  <si>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</si>
  <si>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</si>
  <si>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</si>
  <si>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</si>
  <si>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</si>
  <si>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</si>
  <si>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</si>
  <si>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</si>
  <si>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</si>
  <si>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</si>
  <si>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</si>
  <si>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</si>
  <si>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</si>
  <si>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</si>
  <si>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</si>
  <si>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</si>
  <si>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</si>
  <si>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</si>
  <si>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</si>
  <si>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</si>
  <si>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</si>
  <si>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</si>
  <si>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</si>
  <si>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</si>
  <si>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</si>
  <si>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</si>
  <si>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</si>
  <si>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</si>
  <si>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</si>
  <si>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</si>
  <si>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</si>
  <si>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</si>
  <si>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</si>
  <si>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</si>
  <si>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</si>
  <si>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</si>
  <si>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</si>
  <si>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</si>
  <si>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</si>
  <si>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</si>
  <si>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</si>
  <si>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</si>
  <si>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</si>
  <si>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</si>
  <si>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</si>
  <si>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</si>
  <si>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</si>
  <si>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</si>
  <si>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</si>
  <si>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</si>
  <si>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</si>
  <si>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</si>
  <si>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</si>
  <si>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</si>
  <si>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</si>
  <si>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</si>
  <si>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</si>
  <si>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</si>
  <si>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</si>
  <si>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</si>
  <si>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</si>
  <si>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</si>
  <si>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</si>
  <si>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</si>
  <si>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</si>
  <si>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</si>
  <si>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</si>
  <si>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</si>
  <si>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</si>
  <si>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</si>
  <si>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</si>
  <si>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</si>
  <si>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</si>
  <si>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</si>
  <si>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</si>
  <si>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</si>
  <si>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</si>
  <si>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</si>
  <si>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</si>
  <si>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</si>
  <si>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</si>
  <si>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</si>
  <si>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</si>
  <si>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</si>
  <si>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</si>
  <si>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</si>
  <si>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</si>
  <si>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</si>
  <si>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</si>
  <si>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</si>
  <si>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</si>
  <si>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</si>
  <si>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</si>
  <si>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</si>
  <si>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</si>
  <si>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</si>
  <si>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</si>
  <si>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</si>
  <si>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</si>
  <si>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</si>
  <si>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</si>
  <si>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</si>
  <si>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</si>
  <si>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</si>
  <si>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</si>
  <si>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</si>
  <si>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</si>
  <si>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</si>
  <si>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</si>
  <si>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</si>
  <si>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</si>
  <si>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</si>
  <si>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</si>
  <si>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</si>
  <si>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</si>
  <si>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</si>
  <si>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</si>
  <si>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</si>
  <si>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</si>
  <si>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</si>
  <si>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</si>
  <si>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</si>
  <si>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</si>
  <si>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</si>
  <si>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</si>
  <si>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</si>
  <si>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</si>
  <si>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</si>
  <si>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</si>
  <si>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</si>
  <si>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</si>
  <si>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</si>
  <si>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</si>
  <si>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</si>
  <si>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</si>
  <si>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</si>
  <si>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</si>
  <si>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</si>
  <si>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</si>
  <si>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</si>
  <si>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</si>
  <si>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</si>
  <si>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</si>
  <si>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</si>
  <si>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</si>
  <si>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</si>
  <si>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</si>
  <si>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</si>
  <si>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</si>
  <si>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</si>
  <si>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</si>
  <si>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</si>
  <si>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</si>
  <si>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</si>
  <si>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</si>
  <si>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</si>
  <si>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</si>
  <si>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</si>
  <si>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</si>
  <si>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</si>
  <si>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</si>
  <si>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</si>
  <si>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</si>
  <si>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</si>
  <si>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</si>
  <si>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</si>
  <si>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</si>
  <si>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</si>
  <si>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</si>
  <si>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</si>
  <si>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</si>
  <si>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</si>
  <si>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</si>
  <si>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</si>
  <si>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</si>
  <si>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</si>
  <si>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</si>
  <si>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</si>
  <si>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</si>
  <si>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</si>
  <si>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</si>
  <si>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</si>
  <si>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</si>
  <si>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</si>
  <si>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</si>
  <si>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</si>
  <si>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</si>
  <si>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</si>
  <si>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</si>
  <si>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</si>
  <si>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</si>
  <si>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</si>
  <si>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</si>
  <si>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</si>
  <si>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</si>
  <si>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</si>
  <si>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</si>
  <si>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</si>
  <si>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</si>
  <si>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</si>
  <si>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</si>
  <si>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</si>
  <si>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</si>
  <si>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</si>
  <si>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</si>
  <si>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</si>
  <si>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</si>
  <si>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</si>
  <si>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</si>
  <si>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</si>
  <si>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</si>
  <si>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</si>
  <si>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</si>
  <si>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</si>
  <si>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</si>
  <si>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</si>
  <si>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</si>
  <si>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</si>
  <si>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</si>
  <si>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</si>
  <si>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</si>
  <si>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En esta sección se presenta la información detallada de todos los usuarios activos.</t>
  </si>
  <si>
    <t>Fecha de diligenciamiento</t>
  </si>
  <si>
    <t>Rol</t>
  </si>
  <si>
    <t>Tiene rol</t>
  </si>
  <si>
    <t>Nombre</t>
  </si>
  <si>
    <t>Fecha última capacitación</t>
  </si>
  <si>
    <t>Jefe financiero</t>
  </si>
  <si>
    <t>Jefe jurídico</t>
  </si>
  <si>
    <t>Enlace de pagos</t>
  </si>
  <si>
    <t>Jefe de control interno</t>
  </si>
  <si>
    <t>Administrador de la entidad</t>
  </si>
  <si>
    <t>Plantilla de certificado de Control Interno eKOGUI</t>
  </si>
  <si>
    <t>Cantidad de abogados litigando según jurídica</t>
  </si>
  <si>
    <t>En esta sección se presenta la información detallada de todos los abogados.</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</si>
  <si>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</si>
  <si>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</si>
  <si>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</si>
  <si>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</si>
  <si>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</si>
  <si>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</si>
  <si>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</si>
  <si>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</si>
  <si>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</si>
  <si>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</si>
  <si>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</si>
  <si>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</si>
  <si>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En esta sección se presenta la información detalles los procesos de arbitramentos.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</si>
  <si>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</si>
  <si>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</si>
  <si>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</si>
  <si>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</si>
  <si>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</si>
  <si>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</si>
  <si>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</si>
  <si>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</si>
  <si>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</si>
  <si>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</si>
  <si>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</si>
  <si>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</si>
  <si>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</si>
  <si>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</si>
  <si>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</si>
  <si>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</si>
  <si>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</si>
  <si>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</si>
  <si>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</si>
  <si>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COMITES DE CONCILIACION</t>
  </si>
  <si>
    <t>Gestión de sesiones</t>
  </si>
  <si>
    <t>Gestión de Fichas</t>
  </si>
  <si>
    <t>Nombre jefe de control interno que reporta</t>
  </si>
  <si>
    <t>Nombre de entidad que reporta</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</si>
  <si>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</si>
  <si>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</si>
  <si>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</si>
  <si>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</si>
  <si>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cómo completar la hoja de conciliaciones prejudiciales puede consultar la sección 5.5 (Hoja Conciliaciones Prejudiciales) de la Guía de Control Interno</t>
  </si>
  <si>
    <t>Para saber más sobre cómo completar la hoja de arbitramentos puede consultar la sección 5.6 (Hoja de Arbitramentos) de la Guía de Control Interno.</t>
  </si>
  <si>
    <t>Para saber más sobre cómo completar la hoja de Comités de Conciliación puede consultar la sección 5.7 (Hoja Comités de Conciliación) de la Guía de Control Interno</t>
  </si>
  <si>
    <t>Para saber más sobre cómo completar la hoja de pagos puede consultar la sección 5.8 (Hoja pagos) de la Guía de Control Interno.</t>
  </si>
  <si>
    <t>Para saber más sobre el contenido y cómo completar la hoja resumen puede consultar la sección 5.9 (Hoja resumen) de la Guía de Control Interno.</t>
  </si>
  <si>
    <t>Para saber más sobre el contenido y cómo completar la plantilla de control interno puede consultar la Guía de Control Interno.</t>
  </si>
  <si>
    <r>
      <t xml:space="preserve">Por favor seleccione la información que desea registrar, en cualquier momento puede visualizar los resultados de la información que haya registrado seleccionando la opción de </t>
    </r>
    <r>
      <rPr>
        <b/>
        <sz val="12"/>
        <color rgb="FF223B7F"/>
        <rFont val="Arial"/>
        <family val="2"/>
      </rPr>
      <t>Resumen general.</t>
    </r>
  </si>
  <si>
    <t>Utilice la barra de navegación lateral izquierda para moverse entre pestañas</t>
  </si>
  <si>
    <t>Utilice las listas desplegables para llenar información a lo largo del documento</t>
  </si>
  <si>
    <t>Utilice la información del lateral derecho como ayuda de llenado de la pestaña</t>
  </si>
  <si>
    <r>
      <t xml:space="preserve">En cualquier momento puede visualizar los resultados de la información que haya registrado seleccionando la opción de </t>
    </r>
    <r>
      <rPr>
        <b/>
        <sz val="10"/>
        <color rgb="FF223B7F"/>
        <rFont val="Arial"/>
        <family val="2"/>
      </rPr>
      <t>Resumen general.</t>
    </r>
  </si>
  <si>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</si>
  <si>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</si>
  <si>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</si>
  <si>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</si>
  <si>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</si>
  <si>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</si>
  <si>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</si>
  <si>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</si>
  <si>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</si>
  <si>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</si>
  <si>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</si>
  <si>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</si>
  <si>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</si>
  <si>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</si>
  <si>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</si>
  <si>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</si>
  <si>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</si>
  <si>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</si>
  <si>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</si>
  <si>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</si>
  <si>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</si>
  <si>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</si>
  <si>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</si>
  <si>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</si>
  <si>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Su entidad elaboró las fichas de conciliación a través del sistema eKOGUI durante 2023-II</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</si>
  <si>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</si>
  <si>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</si>
  <si>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</si>
  <si>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</si>
  <si>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</si>
  <si>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</si>
  <si>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</si>
  <si>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En esta sección se presenta la información detalles los procesos en 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</si>
  <si>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</si>
  <si>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</si>
  <si>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</si>
  <si>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</si>
  <si>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</si>
  <si>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</si>
  <si>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</si>
  <si>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</si>
  <si>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</si>
  <si>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</si>
  <si>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</si>
  <si>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</si>
  <si>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Firma Jefe de control interno</t>
  </si>
  <si>
    <t>*️⃣Nota:  Los valores arrojados en esta hoja son solo para referencia y control del diligenciamiento, no deben ser usados para calificar, cualificar o comparar a las entidades, no hay valores buenos ni malos.</t>
  </si>
  <si>
    <t>Observaciones generales</t>
  </si>
  <si>
    <t>Secretario técnico</t>
  </si>
  <si>
    <t>Fecha creación en eKOGUI</t>
  </si>
  <si>
    <t>❓ En fecha de capacitación ingrese al última capacitación de la que tenga evidencia al momento del diligenciamiento, puede ser incluso en 2025.</t>
  </si>
  <si>
    <t xml:space="preserve">❓ Completa la tabla con los roles de tu entidad. Si no aplica para su entidad este rol, debe diligenciar N/A.
Debe ingresar la información del último rol que aparece en el sistema  al momento de la consulta, incluso si está activación se realiza en 2025.
</t>
  </si>
  <si>
    <t>De los abogados activos creados en eKOGUI indique cuántos tienen su última capácitación:</t>
  </si>
  <si>
    <t>Su última capacitación fue entre el 01/01/2020 y el 31/12/2023</t>
  </si>
  <si>
    <t>No tienen capacitación</t>
  </si>
  <si>
    <t>❓En algunas entidades, el área jurídica se reparte entre abogados y apoderados y sólo algunos están registrados en eKOGUI, por lo que es necesario diferenciar entre 'Cantidad de Abogados Litigando según Jurídica' y 'Abogados Creados en eKogui Activos'. En observaciones, se debe justificar cualquier diferencia en los registros</t>
  </si>
  <si>
    <t>Su última capacitación fue anterior al 01/01/2020</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</si>
  <si>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masis MT Pro Black"/>
        <family val="1"/>
      </rPr>
      <t xml:space="preserve">! </t>
    </r>
    <r>
      <rPr>
        <sz val="10"/>
        <color theme="1"/>
        <rFont val="Arial"/>
        <family val="2"/>
      </rPr>
      <t xml:space="preserve"> Recuerde que la suma de los abogados en la tabla de capacitaciones debe corresponder al número de agogados activos en eKOGUI</t>
    </r>
  </si>
  <si>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</si>
  <si>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</si>
  <si>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</si>
  <si>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</si>
  <si>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</si>
  <si>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</si>
  <si>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</si>
  <si>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</si>
  <si>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</si>
  <si>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</si>
  <si>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</si>
  <si>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</si>
  <si>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</si>
  <si>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</si>
  <si>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</si>
  <si>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</si>
  <si>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</si>
  <si>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</si>
  <si>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</si>
  <si>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</si>
  <si>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</si>
  <si>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</si>
  <si>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</si>
  <si>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</si>
  <si>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</si>
  <si>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</si>
  <si>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</si>
  <si>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</si>
  <si>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</si>
  <si>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</si>
  <si>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</si>
  <si>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</si>
  <si>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</si>
  <si>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</si>
  <si>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</si>
  <si>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</si>
  <si>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</si>
  <si>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</si>
  <si>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</si>
  <si>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</si>
  <si>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</si>
  <si>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</si>
  <si>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</si>
  <si>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</si>
  <si>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</si>
  <si>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</si>
  <si>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</si>
  <si>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</si>
  <si>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</si>
  <si>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</si>
  <si>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</si>
  <si>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</si>
  <si>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</si>
  <si>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</si>
  <si>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</si>
  <si>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</si>
  <si>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</si>
  <si>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</si>
  <si>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</si>
  <si>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</si>
  <si>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</si>
  <si>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</si>
  <si>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</si>
  <si>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</si>
  <si>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</si>
  <si>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</si>
  <si>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</si>
  <si>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</si>
  <si>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</si>
  <si>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</si>
  <si>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</si>
  <si>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</si>
  <si>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</si>
  <si>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</si>
  <si>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</si>
  <si>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</si>
  <si>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</si>
  <si>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</si>
  <si>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</si>
  <si>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</si>
  <si>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</si>
  <si>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</si>
  <si>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</si>
  <si>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</si>
  <si>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</si>
  <si>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</si>
  <si>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</si>
  <si>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</si>
  <si>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</si>
  <si>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</si>
  <si>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</si>
  <si>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</si>
  <si>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</si>
  <si>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</si>
  <si>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YESID HERNANDO MARÍN CORBA</t>
  </si>
  <si>
    <t>DIANA CAROLINA RODRIGUEZ RINCON</t>
  </si>
  <si>
    <t>ALBA MARINA VANEGAS DUARTE</t>
  </si>
  <si>
    <t>JAIRO ALBERTO SERRATO ROMERO</t>
  </si>
  <si>
    <t xml:space="preserve">SANDRA IBETH RIVERA RUBIO </t>
  </si>
  <si>
    <t>Es importante señalar que, la abogada Martha Mireya Pabón Paez, se inactivo el 27 de enero de 2025, esto según lo verificado en el sistema eKOGUI.</t>
  </si>
  <si>
    <t xml:space="preserve">Según la información dada por la Oficina Jurídica, una de las fichas se subió al eKOGUI
 como anexo de sesión, pero no se tramitó en el sistema, puesto que se estudió la procedencia de la acción de repetición por un fallo emanado de una acción de tutela y aunque, se solicitó a la abogada externa Martha Pabón realizar la ficha en el sistema no le fue posible porque el sistema no admite procesos tutelas. </t>
  </si>
  <si>
    <t>Al hacer la verificación en el sistema de los procesos judiciales, se encontró  1 
proceso con calificación del riesgo desactualizado y otros sin calificación, esto correspondiente a los ID eKOGUI 2374279 y 2567505. Cabe resaltar que, la calificación del riesgo se debe realizar con una periodicidad NO mayor a 6 meses, por este motivo, es importante que se haga la calificación pertinente a los procesos en mención.</t>
  </si>
  <si>
    <t>La Universidad Pedagógica Nacional no llevo procesos arbitrales en el segundo semestre de la vigencia 2024.</t>
  </si>
  <si>
    <t>La Universidad Pedagógica Nacional, no es sección presupuestal del Ministerio de Hacienda, 
por lo que no tiene ningún manejo con el SIIF, no tiene enlace de pagos para utilizar este módulo.</t>
  </si>
  <si>
    <t xml:space="preserve">Se recomienda seguir adelantando las gestiones a que haya lugar para mantener actualizada la información correspondiente 
a la calificación del riesgo y la provisión contable de los procesos.
Se sugiere mantener los resultados obtenidos en el semestre evaluado y así evitar la materialización de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</si>
</sst>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0">
    <font>
      <sz val="11"/>
      <color theme="1"/>
      <name val="Calibri"/>
      <family val="2"/>
      <scheme val="minor"/>
    </font>
    <font>
      <sz val="11"/>
      <color indexed="8"/>
      <name val="Calibri"/>
      <family val="2"/>
      <charset val="1"/>
    </font>
    <font>
      <sz val="10"/>
      <color theme="1"/>
      <name val="Calibri"/>
      <family val="2"/>
      <scheme val="minor"/>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20"/>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b/>
      <sz val="9"/>
      <color rgb="FF223B7F"/>
      <name val="Arial"/>
      <family val="2"/>
    </font>
    <font>
      <u/>
      <sz val="11"/>
      <color theme="1"/>
      <name val="Calibri"/>
      <family val="2"/>
      <scheme val="minor"/>
    </font>
    <font>
      <b/>
      <sz val="11"/>
      <color rgb="FF223B7F"/>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sz val="10"/>
      <color rgb="FF223B7F"/>
      <name val="Nunito Sans"/>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b/>
      <sz val="14"/>
      <color rgb="FF223B7F"/>
      <name val="Arial"/>
      <family val="2"/>
    </font>
    <font>
      <u/>
      <sz val="14"/>
      <color theme="0"/>
      <name val="Franklin Gothic Book"/>
      <family val="2"/>
    </font>
    <font>
      <sz val="11"/>
      <color theme="4"/>
      <name val="Calibri"/>
      <family val="2"/>
      <scheme val="minor"/>
    </font>
    <font>
      <b/>
      <sz val="12"/>
      <color theme="0"/>
      <name val="Nunito Sans Normal"/>
    </font>
    <font>
      <sz val="11"/>
      <color theme="3"/>
      <name val="Nunito Sans Normal"/>
    </font>
    <font>
      <sz val="11"/>
      <color theme="4" tint="-0.499984740745262"/>
      <name val="Nunito Sans Normal"/>
    </font>
    <font>
      <sz val="11"/>
      <color rgb="FF223B7F"/>
      <name val="Nunito Sans Normal"/>
    </font>
    <font>
      <b/>
      <sz val="18"/>
      <color rgb="FF223B7F"/>
      <name val="Nunito Sans"/>
    </font>
    <font>
      <b/>
      <sz val="11"/>
      <color theme="1"/>
      <name val="Calibri"/>
      <family val="2"/>
      <scheme val="minor"/>
    </font>
    <font>
      <b/>
      <sz val="10"/>
      <color theme="1"/>
      <name val="Amasis MT Pro Black"/>
      <family val="1"/>
    </font>
    <font>
      <b/>
      <sz val="11"/>
      <color theme="4" tint="-0.499984740745262"/>
      <name val="Calibri"/>
      <family val="2"/>
      <scheme val="minor"/>
    </font>
    <font>
      <sz val="11"/>
      <color theme="6" tint="0.79998168889431442"/>
      <name val="Calibri"/>
      <family val="2"/>
      <scheme val="minor"/>
    </font>
    <font>
      <sz val="11"/>
      <color theme="6" tint="0.79998168889431442"/>
      <name val="Arial"/>
      <family val="2"/>
    </font>
    <font>
      <b/>
      <sz val="11"/>
      <color rgb="FFFF3737"/>
      <name val="Arial"/>
      <family val="2"/>
    </font>
    <font>
      <sz val="11"/>
      <color rgb="FFFF3737"/>
      <name val="Calibri"/>
      <family val="2"/>
      <scheme val="minor"/>
    </font>
    <font>
      <u/>
      <sz val="14"/>
      <color theme="10"/>
      <name val="Calibri"/>
      <family val="2"/>
      <scheme val="minor"/>
    </font>
    <font>
      <u/>
      <sz val="16"/>
      <color theme="0"/>
      <name val="Calibri"/>
      <family val="2"/>
      <scheme val="minor"/>
    </font>
    <font>
      <u/>
      <sz val="12"/>
      <color theme="0"/>
      <name val="Calibri"/>
      <family val="2"/>
      <scheme val="minor"/>
    </font>
    <font>
      <u/>
      <sz val="18"/>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2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bottom/>
      <diagonal/>
    </border>
  </borders>
  <cellStyleXfs count="5">
    <xf numFmtId="0" fontId="0" fillId="0" borderId="0"/>
    <xf numFmtId="0" fontId="1" fillId="0" borderId="0"/>
    <xf numFmtId="0" fontId="3" fillId="0" borderId="0" applyNumberFormat="0" applyFill="0" applyBorder="0" applyAlignment="0" applyProtection="0"/>
    <xf numFmtId="9" fontId="24" fillId="0" borderId="0" applyFont="0" applyFill="0" applyBorder="0" applyAlignment="0" applyProtection="0"/>
    <xf numFmtId="43" fontId="24" fillId="0" borderId="0" applyFont="0" applyFill="0" applyBorder="0" applyAlignment="0" applyProtection="0"/>
  </cellStyleXfs>
  <cellXfs count="261">
    <xf numFmtId="0" fontId="0" fillId="0" borderId="0" xfId="0"/>
    <xf numFmtId="0" fontId="0" fillId="2" borderId="0" xfId="0" applyFill="1"/>
    <xf numFmtId="0" fontId="0" fillId="5" borderId="0" xfId="0" applyFill="1"/>
    <xf numFmtId="0" fontId="5" fillId="3" borderId="0" xfId="0" applyFont="1" applyFill="1"/>
    <xf numFmtId="0" fontId="4" fillId="3" borderId="0" xfId="0" applyFont="1" applyFill="1"/>
    <xf numFmtId="0" fontId="2" fillId="5" borderId="0" xfId="0" applyFont="1" applyFill="1"/>
    <xf numFmtId="0" fontId="8" fillId="5" borderId="0" xfId="0" applyFont="1" applyFill="1" applyAlignment="1">
      <alignment vertical="center"/>
    </xf>
    <xf numFmtId="0" fontId="10" fillId="5" borderId="0" xfId="0" applyFont="1" applyFill="1" applyAlignment="1">
      <alignment horizontal="center" vertical="center" wrapText="1"/>
    </xf>
    <xf numFmtId="0" fontId="8" fillId="5" borderId="0" xfId="0" applyFont="1" applyFill="1" applyAlignment="1">
      <alignment horizontal="left" vertical="center"/>
    </xf>
    <xf numFmtId="0" fontId="4" fillId="5" borderId="0" xfId="0" applyFont="1" applyFill="1"/>
    <xf numFmtId="0" fontId="9" fillId="5" borderId="0" xfId="0" applyFont="1" applyFill="1"/>
    <xf numFmtId="0" fontId="12" fillId="5" borderId="0" xfId="0" applyFont="1" applyFill="1" applyAlignment="1">
      <alignment vertical="center"/>
    </xf>
    <xf numFmtId="0" fontId="16" fillId="5" borderId="0" xfId="0" applyFont="1" applyFill="1" applyAlignment="1">
      <alignment vertical="center"/>
    </xf>
    <xf numFmtId="0" fontId="20" fillId="5" borderId="0" xfId="0" applyFont="1" applyFill="1"/>
    <xf numFmtId="0" fontId="7" fillId="5" borderId="0" xfId="0" applyFont="1" applyFill="1" applyAlignment="1">
      <alignment vertical="center"/>
    </xf>
    <xf numFmtId="0" fontId="14" fillId="5" borderId="0" xfId="0" applyFont="1" applyFill="1" applyAlignment="1">
      <alignment vertical="center"/>
    </xf>
    <xf numFmtId="0" fontId="19" fillId="5" borderId="0" xfId="0" applyFont="1" applyFill="1" applyAlignment="1">
      <alignment vertical="center" wrapText="1"/>
    </xf>
    <xf numFmtId="0" fontId="6" fillId="5" borderId="0" xfId="0" applyFont="1" applyFill="1" applyAlignment="1">
      <alignment vertical="center"/>
    </xf>
    <xf numFmtId="0" fontId="0" fillId="5" borderId="0" xfId="0" applyFill="1" applyAlignment="1">
      <alignment vertical="center"/>
    </xf>
    <xf numFmtId="0" fontId="13" fillId="5" borderId="0" xfId="0" applyFont="1" applyFill="1" applyAlignment="1">
      <alignment horizontal="center" vertical="center"/>
    </xf>
    <xf numFmtId="0" fontId="6" fillId="5" borderId="5" xfId="0" applyFont="1" applyFill="1" applyBorder="1" applyAlignment="1">
      <alignment vertical="center"/>
    </xf>
    <xf numFmtId="0" fontId="25" fillId="5" borderId="0" xfId="0" applyFont="1" applyFill="1" applyAlignment="1">
      <alignment vertical="center"/>
    </xf>
    <xf numFmtId="0" fontId="27" fillId="2" borderId="0" xfId="0" applyFont="1" applyFill="1"/>
    <xf numFmtId="0" fontId="27" fillId="3" borderId="0" xfId="0" applyFont="1" applyFill="1"/>
    <xf numFmtId="0" fontId="26" fillId="2" borderId="0" xfId="0" applyFont="1" applyFill="1" applyAlignment="1">
      <alignment horizontal="center"/>
    </xf>
    <xf numFmtId="0" fontId="26" fillId="3" borderId="0" xfId="0" applyFont="1" applyFill="1"/>
    <xf numFmtId="0" fontId="26" fillId="3" borderId="0" xfId="0" applyFont="1" applyFill="1" applyAlignment="1">
      <alignment horizontal="center"/>
    </xf>
    <xf numFmtId="0" fontId="28" fillId="4" borderId="0" xfId="0" applyFont="1" applyFill="1"/>
    <xf numFmtId="0" fontId="29" fillId="4" borderId="0" xfId="0" applyFont="1" applyFill="1"/>
    <xf numFmtId="0" fontId="29" fillId="5" borderId="0" xfId="0" applyFont="1" applyFill="1"/>
    <xf numFmtId="9" fontId="29" fillId="5" borderId="0" xfId="3" applyFont="1" applyFill="1" applyBorder="1" applyAlignment="1">
      <alignment horizontal="center" vertical="center"/>
    </xf>
    <xf numFmtId="0" fontId="29" fillId="2" borderId="0" xfId="0" applyFont="1" applyFill="1"/>
    <xf numFmtId="0" fontId="29" fillId="2" borderId="0" xfId="0" applyFont="1" applyFill="1" applyAlignment="1">
      <alignment horizontal="center" vertical="center"/>
    </xf>
    <xf numFmtId="0" fontId="29" fillId="5" borderId="0" xfId="0" applyFont="1" applyFill="1" applyAlignment="1">
      <alignment horizontal="center" vertical="center"/>
    </xf>
    <xf numFmtId="9" fontId="29" fillId="2" borderId="0" xfId="3" applyFont="1" applyFill="1" applyBorder="1" applyAlignment="1">
      <alignment horizontal="center" vertical="center"/>
    </xf>
    <xf numFmtId="0" fontId="30" fillId="5" borderId="0" xfId="0" applyFont="1" applyFill="1"/>
    <xf numFmtId="0" fontId="30" fillId="2" borderId="0" xfId="0" applyFont="1" applyFill="1"/>
    <xf numFmtId="9" fontId="30" fillId="2" borderId="0" xfId="3" applyFont="1" applyFill="1" applyBorder="1" applyAlignment="1">
      <alignment horizontal="center" vertical="center"/>
    </xf>
    <xf numFmtId="0" fontId="31"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8" fillId="5" borderId="0" xfId="0" applyFont="1" applyFill="1" applyAlignment="1">
      <alignment vertical="center" wrapText="1"/>
    </xf>
    <xf numFmtId="0" fontId="17" fillId="7" borderId="0" xfId="0" applyFont="1" applyFill="1" applyAlignment="1">
      <alignment wrapText="1"/>
    </xf>
    <xf numFmtId="0" fontId="17" fillId="3" borderId="0" xfId="0" applyFont="1" applyFill="1" applyAlignment="1">
      <alignment wrapText="1"/>
    </xf>
    <xf numFmtId="0" fontId="10" fillId="7" borderId="0" xfId="0" applyFont="1" applyFill="1" applyAlignment="1">
      <alignment vertical="center" wrapText="1"/>
    </xf>
    <xf numFmtId="0" fontId="0" fillId="3" borderId="0" xfId="0" applyFill="1" applyAlignment="1">
      <alignment wrapText="1"/>
    </xf>
    <xf numFmtId="0" fontId="8" fillId="7" borderId="0" xfId="0" applyFont="1" applyFill="1" applyAlignment="1">
      <alignment vertical="center"/>
    </xf>
    <xf numFmtId="0" fontId="8" fillId="2" borderId="0" xfId="0" applyFont="1" applyFill="1" applyAlignment="1">
      <alignment vertical="center"/>
    </xf>
    <xf numFmtId="9" fontId="30" fillId="5" borderId="0" xfId="3" applyFont="1" applyFill="1" applyBorder="1" applyAlignment="1">
      <alignment horizontal="center" vertical="center"/>
    </xf>
    <xf numFmtId="0" fontId="34" fillId="5" borderId="0" xfId="0" applyFont="1" applyFill="1"/>
    <xf numFmtId="0" fontId="35" fillId="5" borderId="0" xfId="0" applyFont="1" applyFill="1" applyAlignment="1">
      <alignment vertical="center"/>
    </xf>
    <xf numFmtId="0" fontId="31" fillId="3" borderId="0" xfId="0" applyFont="1" applyFill="1"/>
    <xf numFmtId="0" fontId="8" fillId="5" borderId="0" xfId="0" applyFont="1" applyFill="1" applyAlignment="1">
      <alignment vertical="top" wrapText="1"/>
    </xf>
    <xf numFmtId="0" fontId="13" fillId="2" borderId="0" xfId="0" applyFont="1" applyFill="1" applyAlignment="1">
      <alignment vertical="center" wrapText="1"/>
    </xf>
    <xf numFmtId="0" fontId="22" fillId="5" borderId="0" xfId="0" applyFont="1" applyFill="1" applyProtection="1">
      <protection locked="0"/>
    </xf>
    <xf numFmtId="0" fontId="5" fillId="3" borderId="0" xfId="2" applyFont="1" applyFill="1" applyAlignment="1">
      <alignment horizontal="center"/>
    </xf>
    <xf numFmtId="0" fontId="6" fillId="5" borderId="0" xfId="0" applyFont="1" applyFill="1" applyAlignment="1">
      <alignment horizontal="left" vertical="center" indent="2"/>
    </xf>
    <xf numFmtId="0" fontId="17" fillId="4" borderId="0" xfId="0" applyFont="1" applyFill="1" applyAlignment="1">
      <alignment horizontal="center" vertical="center" wrapText="1"/>
    </xf>
    <xf numFmtId="0" fontId="6" fillId="5" borderId="0" xfId="0" applyFont="1" applyFill="1" applyAlignment="1">
      <alignment horizontal="center" vertical="center"/>
    </xf>
    <xf numFmtId="0" fontId="29" fillId="2" borderId="0" xfId="0" applyFont="1" applyFill="1" applyAlignment="1">
      <alignment horizontal="center" vertical="center" wrapText="1"/>
    </xf>
    <xf numFmtId="0" fontId="6" fillId="4" borderId="0" xfId="0" applyFont="1" applyFill="1" applyAlignment="1">
      <alignment vertical="center"/>
    </xf>
    <xf numFmtId="0" fontId="0" fillId="4" borderId="0" xfId="0" applyFill="1"/>
    <xf numFmtId="0" fontId="17" fillId="5" borderId="0" xfId="0" applyFont="1" applyFill="1" applyAlignment="1">
      <alignment horizontal="center" vertical="center" wrapText="1"/>
    </xf>
    <xf numFmtId="0" fontId="6" fillId="4" borderId="0" xfId="0" applyFont="1" applyFill="1" applyAlignment="1">
      <alignment horizontal="center" vertical="center"/>
    </xf>
    <xf numFmtId="0" fontId="18" fillId="5" borderId="0" xfId="0" applyFont="1" applyFill="1" applyAlignment="1">
      <alignment horizontal="center" vertical="center" wrapText="1"/>
    </xf>
    <xf numFmtId="0" fontId="19" fillId="5" borderId="0" xfId="0" applyFont="1" applyFill="1" applyAlignment="1">
      <alignment horizontal="left" vertical="center"/>
    </xf>
    <xf numFmtId="0" fontId="38" fillId="3" borderId="0" xfId="0" applyFont="1" applyFill="1"/>
    <xf numFmtId="0" fontId="7" fillId="5" borderId="0" xfId="0" applyFont="1" applyFill="1" applyAlignment="1">
      <alignment horizontal="left" vertical="center"/>
    </xf>
    <xf numFmtId="0" fontId="39" fillId="5" borderId="0" xfId="0" applyFont="1" applyFill="1" applyAlignment="1">
      <alignment horizontal="left" vertical="center"/>
    </xf>
    <xf numFmtId="0" fontId="43" fillId="0" borderId="0" xfId="0" applyFont="1"/>
    <xf numFmtId="0" fontId="44" fillId="2" borderId="0" xfId="0" applyFont="1" applyFill="1" applyAlignment="1">
      <alignment horizontal="center"/>
    </xf>
    <xf numFmtId="0" fontId="45" fillId="9" borderId="0" xfId="0" applyFont="1" applyFill="1" applyAlignment="1">
      <alignment vertical="center"/>
    </xf>
    <xf numFmtId="0" fontId="45" fillId="2" borderId="0" xfId="0" applyFont="1" applyFill="1" applyAlignment="1">
      <alignment vertical="center"/>
    </xf>
    <xf numFmtId="0" fontId="0" fillId="5" borderId="2" xfId="0" applyFill="1" applyBorder="1"/>
    <xf numFmtId="0" fontId="52" fillId="5" borderId="0" xfId="0" applyFont="1" applyFill="1"/>
    <xf numFmtId="0" fontId="51" fillId="4" borderId="0" xfId="0" applyFont="1" applyFill="1"/>
    <xf numFmtId="0" fontId="53" fillId="5" borderId="0" xfId="0" applyFont="1" applyFill="1" applyAlignment="1">
      <alignment vertical="center"/>
    </xf>
    <xf numFmtId="14" fontId="0" fillId="0" borderId="0" xfId="0" applyNumberFormat="1"/>
    <xf numFmtId="49" fontId="0" fillId="0" borderId="0" xfId="0" applyNumberFormat="1"/>
    <xf numFmtId="165" fontId="30" fillId="2" borderId="0" xfId="4" applyNumberFormat="1" applyFont="1" applyFill="1" applyAlignment="1">
      <alignment horizontal="center" vertical="center"/>
    </xf>
    <xf numFmtId="0" fontId="52" fillId="5" borderId="0" xfId="0" applyFont="1" applyFill="1" applyAlignment="1">
      <alignment horizontal="center"/>
    </xf>
    <xf numFmtId="0" fontId="54" fillId="5" borderId="0" xfId="0" applyFont="1" applyFill="1" applyAlignment="1">
      <alignment horizontal="center" vertical="center" wrapText="1"/>
    </xf>
    <xf numFmtId="0" fontId="55" fillId="5" borderId="0" xfId="0" applyFont="1" applyFill="1"/>
    <xf numFmtId="9" fontId="30" fillId="5" borderId="0" xfId="3" applyFont="1" applyFill="1" applyAlignment="1">
      <alignment horizontal="center" vertical="center"/>
    </xf>
    <xf numFmtId="0" fontId="42" fillId="3" borderId="0" xfId="2" applyFont="1" applyFill="1" applyAlignment="1">
      <alignment horizontal="center"/>
    </xf>
    <xf numFmtId="0" fontId="7" fillId="5" borderId="0" xfId="0" applyFont="1" applyFill="1" applyAlignment="1">
      <alignment horizontal="left" vertical="center"/>
    </xf>
    <xf numFmtId="0" fontId="7" fillId="5" borderId="3" xfId="0" applyFont="1" applyFill="1" applyBorder="1" applyAlignment="1">
      <alignment horizontal="left" vertical="center"/>
    </xf>
    <xf numFmtId="0" fontId="8" fillId="5" borderId="0" xfId="0" applyFont="1" applyFill="1" applyAlignment="1">
      <alignment horizontal="left" vertical="center" wrapText="1"/>
    </xf>
    <xf numFmtId="0" fontId="4" fillId="3" borderId="0" xfId="0" applyFont="1" applyFill="1" applyAlignment="1">
      <alignment horizontal="center"/>
    </xf>
    <xf numFmtId="0" fontId="41" fillId="7" borderId="6" xfId="0" applyFont="1" applyFill="1" applyBorder="1" applyAlignment="1" applyProtection="1">
      <alignment horizontal="center" vertical="center"/>
      <protection locked="0"/>
    </xf>
    <xf numFmtId="0" fontId="41" fillId="7" borderId="7" xfId="0" applyFont="1" applyFill="1" applyBorder="1" applyAlignment="1" applyProtection="1">
      <alignment horizontal="center" vertical="center"/>
      <protection locked="0"/>
    </xf>
    <xf numFmtId="0" fontId="58" fillId="3" borderId="0" xfId="2" applyFont="1" applyFill="1" applyAlignment="1">
      <alignment horizontal="center" vertical="center"/>
    </xf>
    <xf numFmtId="0" fontId="17" fillId="2" borderId="0" xfId="0" applyFont="1" applyFill="1" applyAlignment="1">
      <alignment horizontal="center" vertical="center" wrapText="1"/>
    </xf>
    <xf numFmtId="0" fontId="8" fillId="2" borderId="0" xfId="0" applyFont="1" applyFill="1" applyAlignment="1">
      <alignment horizontal="center" vertical="center"/>
    </xf>
    <xf numFmtId="0" fontId="8" fillId="7" borderId="0" xfId="0" applyFont="1" applyFill="1" applyAlignment="1">
      <alignment horizontal="center" vertical="center"/>
    </xf>
    <xf numFmtId="0" fontId="9" fillId="2" borderId="0" xfId="0" applyFont="1" applyFill="1" applyAlignment="1">
      <alignment horizontal="center"/>
    </xf>
    <xf numFmtId="164" fontId="12" fillId="2" borderId="0" xfId="0" applyNumberFormat="1" applyFont="1" applyFill="1" applyAlignment="1" applyProtection="1">
      <alignment horizontal="center" vertical="center"/>
      <protection locked="0"/>
    </xf>
    <xf numFmtId="14" fontId="11" fillId="2" borderId="5" xfId="0" applyNumberFormat="1"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4" fillId="2" borderId="0" xfId="0" applyFont="1" applyFill="1" applyAlignment="1">
      <alignment horizontal="left" vertical="center" wrapText="1" indent="1"/>
    </xf>
    <xf numFmtId="0" fontId="2" fillId="2" borderId="0" xfId="0" applyFont="1" applyFill="1" applyAlignment="1">
      <alignment horizontal="left" vertical="center" wrapText="1" indent="1"/>
    </xf>
    <xf numFmtId="0" fontId="6" fillId="2" borderId="0" xfId="0" applyFont="1" applyFill="1" applyAlignment="1">
      <alignment horizontal="left" vertical="center" wrapText="1" indent="1"/>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6" fillId="6" borderId="0" xfId="0" applyFont="1" applyFill="1" applyAlignment="1">
      <alignment horizontal="center" vertical="center"/>
    </xf>
    <xf numFmtId="0" fontId="6" fillId="6" borderId="4" xfId="0" applyFont="1" applyFill="1" applyBorder="1" applyAlignment="1">
      <alignment horizontal="center" vertical="center"/>
    </xf>
    <xf numFmtId="0" fontId="6" fillId="6" borderId="0" xfId="0" applyFont="1" applyFill="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14" fontId="11" fillId="6" borderId="5" xfId="0" applyNumberFormat="1" applyFont="1" applyFill="1" applyBorder="1" applyAlignment="1" applyProtection="1">
      <alignment horizontal="center" vertical="center"/>
      <protection locked="0"/>
    </xf>
    <xf numFmtId="0" fontId="11" fillId="6" borderId="0" xfId="0" applyFont="1" applyFill="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6" borderId="5" xfId="0" applyFont="1" applyFill="1" applyBorder="1" applyAlignment="1" applyProtection="1">
      <alignment horizontal="center" vertical="center"/>
      <protection locked="0"/>
    </xf>
    <xf numFmtId="0" fontId="8" fillId="5" borderId="0" xfId="0" applyFont="1" applyFill="1" applyAlignment="1">
      <alignment horizontal="left" vertical="top" wrapText="1"/>
    </xf>
    <xf numFmtId="0" fontId="0" fillId="2" borderId="0" xfId="0" applyFill="1" applyAlignment="1" applyProtection="1">
      <alignment horizontal="center" wrapText="1"/>
      <protection locked="0"/>
    </xf>
    <xf numFmtId="14" fontId="11" fillId="2" borderId="0" xfId="0" applyNumberFormat="1" applyFont="1" applyFill="1" applyAlignment="1" applyProtection="1">
      <alignment horizontal="center" vertical="center"/>
      <protection locked="0"/>
    </xf>
    <xf numFmtId="0" fontId="10" fillId="4"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0" xfId="0" applyFont="1" applyFill="1" applyAlignment="1">
      <alignment horizontal="center" vertical="center" wrapText="1"/>
    </xf>
    <xf numFmtId="14" fontId="11" fillId="6" borderId="0" xfId="0" applyNumberFormat="1" applyFont="1" applyFill="1" applyAlignment="1" applyProtection="1">
      <alignment horizontal="center" vertical="center"/>
      <protection locked="0"/>
    </xf>
    <xf numFmtId="0" fontId="11" fillId="6" borderId="5" xfId="0" applyFont="1" applyFill="1" applyBorder="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17" fillId="7" borderId="0" xfId="0" applyFont="1" applyFill="1" applyAlignment="1">
      <alignment horizontal="center" wrapText="1"/>
    </xf>
    <xf numFmtId="0" fontId="0" fillId="7" borderId="0" xfId="0" applyFill="1" applyAlignment="1">
      <alignment horizontal="center" wrapText="1"/>
    </xf>
    <xf numFmtId="0" fontId="57" fillId="3" borderId="0" xfId="2" applyFont="1" applyFill="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0" xfId="0" applyFill="1" applyAlignment="1" applyProtection="1">
      <alignment horizontal="center"/>
      <protection locked="0"/>
    </xf>
    <xf numFmtId="0" fontId="16" fillId="4" borderId="0" xfId="0" applyFont="1" applyFill="1" applyAlignment="1">
      <alignment horizontal="center"/>
    </xf>
    <xf numFmtId="0" fontId="0" fillId="2" borderId="2"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17" fillId="4" borderId="8"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0" xfId="0" applyFont="1" applyFill="1" applyAlignment="1">
      <alignment horizontal="left" vertical="center" wrapText="1"/>
    </xf>
    <xf numFmtId="0" fontId="17" fillId="4" borderId="12" xfId="0" applyFont="1" applyFill="1" applyBorder="1" applyAlignment="1">
      <alignment horizontal="left" vertical="center" wrapText="1"/>
    </xf>
    <xf numFmtId="0" fontId="7" fillId="2" borderId="0" xfId="0" applyFont="1" applyFill="1" applyAlignment="1" applyProtection="1">
      <alignment horizontal="center" vertical="center"/>
      <protection locked="0"/>
    </xf>
    <xf numFmtId="0" fontId="19" fillId="4" borderId="0" xfId="0" applyFont="1" applyFill="1" applyAlignment="1">
      <alignment horizontal="center" vertical="center" wrapText="1"/>
    </xf>
    <xf numFmtId="0" fontId="14" fillId="5" borderId="0" xfId="0" applyFont="1" applyFill="1" applyAlignment="1">
      <alignment horizontal="left" vertical="center"/>
    </xf>
    <xf numFmtId="0" fontId="14" fillId="5" borderId="3" xfId="0" applyFont="1" applyFill="1" applyBorder="1" applyAlignment="1">
      <alignment horizontal="left" vertical="center"/>
    </xf>
    <xf numFmtId="0" fontId="8" fillId="5" borderId="0" xfId="0" applyFont="1" applyFill="1" applyAlignment="1">
      <alignment horizontal="left" vertical="center"/>
    </xf>
    <xf numFmtId="0" fontId="4" fillId="2" borderId="0" xfId="0" applyFont="1" applyFill="1" applyAlignment="1">
      <alignment horizontal="center" vertical="top" wrapText="1"/>
    </xf>
    <xf numFmtId="0" fontId="4" fillId="2" borderId="11" xfId="0" applyFont="1" applyFill="1" applyBorder="1" applyAlignment="1">
      <alignment horizontal="left" vertical="center" wrapText="1"/>
    </xf>
    <xf numFmtId="0" fontId="4" fillId="2" borderId="0" xfId="0" applyFont="1" applyFill="1" applyAlignment="1">
      <alignment horizontal="left" vertical="center" wrapText="1"/>
    </xf>
    <xf numFmtId="0" fontId="4" fillId="5" borderId="11"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13"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0" fillId="5" borderId="15" xfId="0" applyFill="1" applyBorder="1" applyAlignment="1" applyProtection="1">
      <alignment horizontal="center"/>
      <protection locked="0"/>
    </xf>
    <xf numFmtId="0" fontId="0" fillId="5" borderId="16" xfId="0" applyFill="1" applyBorder="1" applyAlignment="1" applyProtection="1">
      <alignment horizontal="center"/>
      <protection locked="0"/>
    </xf>
    <xf numFmtId="0" fontId="32" fillId="3" borderId="0" xfId="0" applyFont="1" applyFill="1" applyAlignment="1">
      <alignment horizontal="center" vertical="center" wrapText="1"/>
    </xf>
    <xf numFmtId="0" fontId="16" fillId="5" borderId="0" xfId="0" applyFont="1" applyFill="1" applyAlignment="1">
      <alignment horizontal="center" vertical="center"/>
    </xf>
    <xf numFmtId="0" fontId="6" fillId="5" borderId="0" xfId="0" applyFont="1" applyFill="1" applyAlignment="1">
      <alignment horizontal="left" vertical="center" indent="2"/>
    </xf>
    <xf numFmtId="0" fontId="6" fillId="5" borderId="4" xfId="0" applyFont="1" applyFill="1" applyBorder="1" applyAlignment="1">
      <alignment horizontal="left" vertical="center" indent="2"/>
    </xf>
    <xf numFmtId="0" fontId="6" fillId="2" borderId="0" xfId="0" applyFont="1" applyFill="1" applyAlignment="1">
      <alignment horizontal="left" vertical="center" indent="2"/>
    </xf>
    <xf numFmtId="0" fontId="6" fillId="2" borderId="4" xfId="0" applyFont="1" applyFill="1" applyBorder="1" applyAlignment="1">
      <alignment horizontal="left" vertical="center" indent="2"/>
    </xf>
    <xf numFmtId="0" fontId="0" fillId="2" borderId="0" xfId="0" applyFill="1" applyAlignment="1">
      <alignment horizontal="center"/>
    </xf>
    <xf numFmtId="0" fontId="6" fillId="5"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5" fillId="3" borderId="0" xfId="2" applyFont="1" applyFill="1" applyAlignment="1">
      <alignment horizontal="center" vertical="center"/>
    </xf>
    <xf numFmtId="0" fontId="5" fillId="3" borderId="0" xfId="2" applyFont="1" applyFill="1" applyAlignment="1">
      <alignment horizontal="center"/>
    </xf>
    <xf numFmtId="0" fontId="16" fillId="4" borderId="0" xfId="2" applyFont="1" applyFill="1" applyAlignment="1">
      <alignment horizontal="center"/>
    </xf>
    <xf numFmtId="0" fontId="0" fillId="5" borderId="0" xfId="0" applyFill="1" applyAlignment="1">
      <alignment horizontal="left" vertical="center"/>
    </xf>
    <xf numFmtId="0" fontId="19" fillId="4" borderId="0" xfId="0" applyFont="1" applyFill="1" applyAlignment="1">
      <alignment horizontal="center" vertical="center"/>
    </xf>
    <xf numFmtId="0" fontId="19" fillId="4" borderId="4" xfId="0" applyFont="1" applyFill="1" applyBorder="1" applyAlignment="1">
      <alignment horizontal="center" vertical="center"/>
    </xf>
    <xf numFmtId="0" fontId="19" fillId="4" borderId="4" xfId="0" applyFont="1" applyFill="1" applyBorder="1" applyAlignment="1">
      <alignment horizontal="center" vertical="center" wrapText="1"/>
    </xf>
    <xf numFmtId="0" fontId="0" fillId="4" borderId="0" xfId="0" applyFill="1" applyAlignment="1">
      <alignment horizontal="center"/>
    </xf>
    <xf numFmtId="0" fontId="21" fillId="4" borderId="0" xfId="0" applyFont="1" applyFill="1" applyAlignment="1">
      <alignment horizontal="center" vertical="center"/>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2" borderId="2" xfId="0" applyFill="1" applyBorder="1" applyAlignment="1">
      <alignment horizontal="center"/>
    </xf>
    <xf numFmtId="0" fontId="0" fillId="2" borderId="1" xfId="0" applyFill="1" applyBorder="1" applyAlignment="1">
      <alignment horizontal="center"/>
    </xf>
    <xf numFmtId="0" fontId="0" fillId="5" borderId="2" xfId="0" applyFill="1" applyBorder="1" applyAlignment="1">
      <alignment horizontal="center"/>
    </xf>
    <xf numFmtId="0" fontId="0" fillId="5" borderId="1" xfId="0" applyFill="1" applyBorder="1" applyAlignment="1">
      <alignment horizontal="center"/>
    </xf>
    <xf numFmtId="0" fontId="49" fillId="5" borderId="2" xfId="0" applyFont="1" applyFill="1" applyBorder="1" applyAlignment="1">
      <alignment horizontal="center"/>
    </xf>
    <xf numFmtId="0" fontId="49" fillId="5" borderId="0" xfId="0" applyFont="1" applyFill="1" applyAlignment="1">
      <alignment horizontal="center"/>
    </xf>
    <xf numFmtId="0" fontId="16" fillId="4" borderId="0" xfId="0" applyFont="1" applyFill="1" applyAlignment="1">
      <alignment horizontal="center" wrapText="1"/>
    </xf>
    <xf numFmtId="0" fontId="16" fillId="4" borderId="0" xfId="0" applyFont="1" applyFill="1" applyAlignment="1">
      <alignment horizontal="center" vertical="center"/>
    </xf>
    <xf numFmtId="0" fontId="0" fillId="4" borderId="0" xfId="0" applyFill="1" applyAlignment="1">
      <alignment horizontal="center" vertical="center"/>
    </xf>
    <xf numFmtId="0" fontId="17" fillId="7" borderId="0" xfId="0" applyFont="1" applyFill="1" applyAlignment="1">
      <alignment horizontal="center" vertical="center" wrapText="1"/>
    </xf>
    <xf numFmtId="0" fontId="8" fillId="5" borderId="0" xfId="0" applyFont="1" applyFill="1" applyAlignment="1">
      <alignment horizontal="center" vertical="center"/>
    </xf>
    <xf numFmtId="0" fontId="51" fillId="4" borderId="0" xfId="0" applyFont="1" applyFill="1" applyAlignment="1">
      <alignment horizontal="center"/>
    </xf>
    <xf numFmtId="0" fontId="13" fillId="5"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left" vertical="center"/>
    </xf>
    <xf numFmtId="0" fontId="6" fillId="5" borderId="1" xfId="0" applyFont="1" applyFill="1" applyBorder="1" applyAlignment="1">
      <alignment horizontal="left" vertical="center"/>
    </xf>
    <xf numFmtId="0" fontId="6" fillId="2" borderId="0" xfId="0" applyFont="1" applyFill="1" applyAlignment="1">
      <alignment horizontal="left" vertical="center"/>
    </xf>
    <xf numFmtId="0" fontId="6" fillId="2" borderId="1" xfId="0" applyFont="1" applyFill="1" applyBorder="1" applyAlignment="1">
      <alignment horizontal="left" vertical="center"/>
    </xf>
    <xf numFmtId="0" fontId="23" fillId="5" borderId="0" xfId="0" applyFont="1" applyFill="1" applyAlignment="1">
      <alignment horizontal="left" vertical="center"/>
    </xf>
    <xf numFmtId="0" fontId="23" fillId="5" borderId="1" xfId="0" applyFont="1" applyFill="1" applyBorder="1" applyAlignment="1">
      <alignment horizontal="left" vertical="center"/>
    </xf>
    <xf numFmtId="0" fontId="13" fillId="2" borderId="0" xfId="0" applyFont="1" applyFill="1" applyAlignment="1">
      <alignment horizontal="center" vertical="center" wrapText="1"/>
    </xf>
    <xf numFmtId="0" fontId="6" fillId="2" borderId="1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23" fillId="5" borderId="19"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19" fillId="4" borderId="1" xfId="0" applyFont="1" applyFill="1" applyBorder="1" applyAlignment="1">
      <alignment horizontal="center" vertical="center"/>
    </xf>
    <xf numFmtId="0" fontId="23" fillId="5" borderId="0" xfId="0" applyFont="1" applyFill="1" applyAlignment="1">
      <alignment horizontal="left" vertical="center" indent="2"/>
    </xf>
    <xf numFmtId="0" fontId="23" fillId="5" borderId="4" xfId="0" applyFont="1" applyFill="1" applyBorder="1" applyAlignment="1">
      <alignment horizontal="left" vertical="center" indent="2"/>
    </xf>
    <xf numFmtId="0" fontId="0" fillId="5" borderId="0" xfId="0" applyFill="1" applyAlignment="1" applyProtection="1">
      <alignment horizontal="center"/>
      <protection locked="0"/>
    </xf>
    <xf numFmtId="0" fontId="6" fillId="5" borderId="5"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7" fillId="4" borderId="0" xfId="0" applyFont="1" applyFill="1" applyAlignment="1">
      <alignment horizontal="center" vertical="center" wrapText="1"/>
    </xf>
    <xf numFmtId="0" fontId="6" fillId="2" borderId="0" xfId="0" applyFont="1" applyFill="1" applyAlignment="1">
      <alignment horizontal="left" vertical="center" wrapText="1" indent="2"/>
    </xf>
    <xf numFmtId="0" fontId="6" fillId="2" borderId="4" xfId="0" applyFont="1" applyFill="1" applyBorder="1" applyAlignment="1">
      <alignment horizontal="left" vertical="center" wrapText="1" indent="2"/>
    </xf>
    <xf numFmtId="0" fontId="6" fillId="5" borderId="0" xfId="0" applyFont="1" applyFill="1" applyAlignment="1">
      <alignment horizontal="left" vertical="center" wrapText="1" indent="2"/>
    </xf>
    <xf numFmtId="0" fontId="6" fillId="5" borderId="4" xfId="0" applyFont="1" applyFill="1" applyBorder="1" applyAlignment="1">
      <alignment horizontal="left" vertical="center" wrapText="1" indent="2"/>
    </xf>
    <xf numFmtId="0" fontId="6" fillId="2" borderId="0" xfId="0" applyFont="1" applyFill="1" applyAlignment="1">
      <alignment vertical="center" wrapText="1"/>
    </xf>
    <xf numFmtId="0" fontId="6" fillId="2" borderId="4" xfId="0" applyFont="1" applyFill="1" applyBorder="1" applyAlignment="1">
      <alignment vertical="center" wrapText="1"/>
    </xf>
    <xf numFmtId="0" fontId="6" fillId="5" borderId="0" xfId="0" applyFont="1" applyFill="1" applyAlignment="1">
      <alignment horizontal="left" vertical="center" wrapText="1"/>
    </xf>
    <xf numFmtId="0" fontId="6" fillId="5" borderId="4" xfId="0" applyFont="1" applyFill="1" applyBorder="1" applyAlignment="1">
      <alignment horizontal="left" vertical="center" wrapText="1"/>
    </xf>
    <xf numFmtId="0" fontId="0" fillId="5" borderId="0" xfId="0" applyFill="1" applyAlignment="1">
      <alignment horizontal="center"/>
    </xf>
    <xf numFmtId="0" fontId="33" fillId="2" borderId="0" xfId="0" applyFont="1" applyFill="1" applyAlignment="1">
      <alignment horizontal="center"/>
    </xf>
    <xf numFmtId="0" fontId="20" fillId="2" borderId="0" xfId="0" applyFont="1" applyFill="1" applyAlignment="1" applyProtection="1">
      <alignment horizontal="center"/>
      <protection locked="0"/>
    </xf>
    <xf numFmtId="0" fontId="19" fillId="4" borderId="5" xfId="0" applyFont="1" applyFill="1" applyBorder="1" applyAlignment="1">
      <alignment horizontal="center" vertical="center"/>
    </xf>
    <xf numFmtId="0" fontId="16" fillId="4" borderId="0" xfId="0" applyFont="1" applyFill="1" applyAlignment="1">
      <alignment horizontal="left" vertical="center" indent="2"/>
    </xf>
    <xf numFmtId="0" fontId="16" fillId="4" borderId="4" xfId="0" applyFont="1" applyFill="1" applyBorder="1" applyAlignment="1">
      <alignment horizontal="center" vertical="center"/>
    </xf>
    <xf numFmtId="0" fontId="16" fillId="2" borderId="0" xfId="0" applyFont="1" applyFill="1" applyAlignment="1" applyProtection="1">
      <alignment horizontal="center" vertical="center"/>
      <protection locked="0"/>
    </xf>
    <xf numFmtId="0" fontId="59" fillId="3" borderId="0" xfId="2" applyFont="1" applyFill="1" applyAlignment="1">
      <alignment horizontal="center" vertical="center" wrapText="1"/>
    </xf>
    <xf numFmtId="0" fontId="28" fillId="4" borderId="0" xfId="0" applyFont="1" applyFill="1" applyAlignment="1">
      <alignment horizontal="center"/>
    </xf>
    <xf numFmtId="0" fontId="29" fillId="5" borderId="0" xfId="0" applyFont="1" applyFill="1" applyAlignment="1">
      <alignment horizontal="center" vertical="center"/>
    </xf>
    <xf numFmtId="165" fontId="30" fillId="5" borderId="0" xfId="4" applyNumberFormat="1" applyFont="1" applyFill="1" applyBorder="1" applyAlignment="1">
      <alignment horizontal="center" vertical="center"/>
    </xf>
    <xf numFmtId="0" fontId="29" fillId="2" borderId="0" xfId="0" applyFont="1" applyFill="1" applyAlignment="1">
      <alignment horizontal="center" vertical="center"/>
    </xf>
    <xf numFmtId="0" fontId="47" fillId="5" borderId="0" xfId="0" applyFont="1" applyFill="1" applyAlignment="1" applyProtection="1">
      <alignment horizontal="center" vertical="center" wrapText="1"/>
      <protection locked="0"/>
    </xf>
    <xf numFmtId="0" fontId="56" fillId="2" borderId="0" xfId="2" applyFont="1" applyFill="1" applyAlignment="1">
      <alignment horizontal="center" vertical="center" wrapText="1"/>
    </xf>
    <xf numFmtId="0" fontId="48" fillId="2" borderId="0" xfId="0" applyFont="1" applyFill="1" applyAlignment="1">
      <alignment horizontal="center"/>
    </xf>
    <xf numFmtId="0" fontId="46" fillId="2" borderId="0" xfId="0" applyFont="1" applyFill="1" applyAlignment="1" applyProtection="1">
      <alignment horizontal="center"/>
      <protection locked="0"/>
    </xf>
    <xf numFmtId="0" fontId="27" fillId="5" borderId="0" xfId="0" applyFont="1" applyFill="1" applyAlignment="1">
      <alignment horizontal="center"/>
    </xf>
    <xf numFmtId="0" fontId="27" fillId="2" borderId="0" xfId="0" applyFont="1" applyFill="1" applyAlignment="1" applyProtection="1">
      <alignment horizontal="center" vertical="top" wrapText="1"/>
      <protection locked="0"/>
    </xf>
    <xf numFmtId="0" fontId="27" fillId="2" borderId="0" xfId="0" applyFont="1" applyFill="1" applyAlignment="1" applyProtection="1">
      <alignment horizontal="center" vertical="top"/>
      <protection locked="0"/>
    </xf>
    <xf numFmtId="0" fontId="29" fillId="4" borderId="0" xfId="0" applyFont="1" applyFill="1" applyAlignment="1">
      <alignment horizontal="center" vertical="center" wrapText="1"/>
    </xf>
    <xf numFmtId="9" fontId="29" fillId="2" borderId="0" xfId="3" applyFont="1" applyFill="1" applyBorder="1" applyAlignment="1">
      <alignment horizontal="center" vertical="center"/>
    </xf>
    <xf numFmtId="0" fontId="36"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1</xdr:row>
      <xdr:rowOff>19050</xdr:rowOff>
    </xdr:from>
    <xdr:to>
      <xdr:col>2</xdr:col>
      <xdr:colOff>483871</xdr:colOff>
      <xdr:row>3</xdr:row>
      <xdr:rowOff>225252</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647700" y="209550"/>
          <a:ext cx="914401" cy="592917"/>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498475</xdr:colOff>
      <xdr:row>0</xdr:row>
      <xdr:rowOff>98052</xdr:rowOff>
    </xdr:from>
    <xdr:to>
      <xdr:col>6</xdr:col>
      <xdr:colOff>1215574</xdr:colOff>
      <xdr:row>4</xdr:row>
      <xdr:rowOff>72389</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3950" y="98052"/>
          <a:ext cx="2422074" cy="1254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704850</xdr:colOff>
      <xdr:row>1</xdr:row>
      <xdr:rowOff>161925</xdr:rowOff>
    </xdr:from>
    <xdr:to>
      <xdr:col>1</xdr:col>
      <xdr:colOff>495301</xdr:colOff>
      <xdr:row>2</xdr:row>
      <xdr:rowOff>309072</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704850" y="352425"/>
          <a:ext cx="914401" cy="592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dimension ref="B2:AI28"/>
  <sheetViews>
    <sheetView showRowColHeaders="0" topLeftCell="B1" zoomScale="80" zoomScaleNormal="80" workbookViewId="0">
      <selection activeCell="T24" sqref="T24:U24"/>
    </sheetView>
  </sheetViews>
  <sheetFormatPr baseColWidth="10" defaultColWidth="11.44140625" defaultRowHeight="14.4"/>
  <cols>
    <col min="1" max="1" width="0" style="2" hidden="1" customWidth="1"/>
    <col min="2" max="3" width="16.33203125" style="4" customWidth="1"/>
    <col min="4" max="26" width="9.109375" style="2" customWidth="1"/>
    <col min="27" max="16384" width="11.44140625" style="2"/>
  </cols>
  <sheetData>
    <row r="2" spans="2:35">
      <c r="B2" s="89"/>
      <c r="C2" s="89"/>
      <c r="E2" s="86" t="s">
        <v>445</v>
      </c>
      <c r="F2" s="86"/>
      <c r="G2" s="86"/>
      <c r="H2" s="86"/>
      <c r="I2" s="86"/>
      <c r="J2" s="86"/>
      <c r="K2" s="86"/>
      <c r="L2" s="86"/>
      <c r="M2" s="86"/>
      <c r="N2" s="86"/>
      <c r="O2" s="86"/>
      <c r="P2" s="86"/>
      <c r="Q2" s="86"/>
      <c r="R2" s="86"/>
      <c r="S2" s="86"/>
      <c r="T2" s="86"/>
      <c r="U2" s="86"/>
      <c r="V2" s="86"/>
    </row>
    <row r="3" spans="2:35" ht="15" thickBot="1">
      <c r="B3" s="89"/>
      <c r="C3" s="89"/>
      <c r="E3" s="87"/>
      <c r="F3" s="87"/>
      <c r="G3" s="87"/>
      <c r="H3" s="87"/>
      <c r="I3" s="87"/>
      <c r="J3" s="87"/>
      <c r="K3" s="87"/>
      <c r="L3" s="87"/>
      <c r="M3" s="87"/>
      <c r="N3" s="87"/>
      <c r="O3" s="87"/>
      <c r="P3" s="87"/>
      <c r="Q3" s="87"/>
      <c r="R3" s="87"/>
      <c r="S3" s="87"/>
      <c r="T3" s="87"/>
      <c r="U3" s="87"/>
      <c r="V3" s="87"/>
      <c r="AI3" s="2" t="s">
        <v>536</v>
      </c>
    </row>
    <row r="4" spans="2:35" ht="24.6">
      <c r="B4" s="89"/>
      <c r="C4" s="89"/>
      <c r="E4" s="68"/>
      <c r="F4" s="68"/>
      <c r="G4" s="68"/>
      <c r="H4" s="68"/>
      <c r="I4" s="68"/>
      <c r="J4" s="68"/>
      <c r="K4" s="68"/>
      <c r="L4" s="68"/>
      <c r="M4" s="68"/>
      <c r="N4" s="68"/>
      <c r="O4" s="68"/>
      <c r="P4" s="68"/>
      <c r="Q4" s="68"/>
      <c r="R4" s="68"/>
      <c r="S4" s="68"/>
      <c r="T4" s="68"/>
      <c r="U4" s="68"/>
      <c r="V4" s="68"/>
      <c r="AI4" s="2" t="s">
        <v>539</v>
      </c>
    </row>
    <row r="5" spans="2:35" ht="15" customHeight="1">
      <c r="F5" s="68"/>
      <c r="G5" s="68"/>
      <c r="H5" s="68"/>
      <c r="I5" s="68"/>
      <c r="J5" s="68"/>
      <c r="K5" s="68"/>
      <c r="L5" s="68"/>
      <c r="M5" s="68"/>
      <c r="N5" s="68"/>
      <c r="O5" s="68"/>
      <c r="P5" s="68"/>
      <c r="Q5" s="68"/>
      <c r="R5" s="68"/>
      <c r="S5" s="68"/>
      <c r="T5" s="68"/>
      <c r="U5" s="68"/>
      <c r="V5" s="68"/>
      <c r="AI5" s="2" t="s">
        <v>537</v>
      </c>
    </row>
    <row r="6" spans="2:35" ht="24.6">
      <c r="B6" s="85" t="s">
        <v>543</v>
      </c>
      <c r="C6" s="85"/>
      <c r="E6" s="69" t="s">
        <v>535</v>
      </c>
      <c r="F6" s="69"/>
      <c r="G6" s="69"/>
      <c r="H6" s="69"/>
      <c r="I6" s="90" t="s">
        <v>536</v>
      </c>
      <c r="J6" s="91"/>
      <c r="K6" s="68"/>
      <c r="L6" s="68"/>
      <c r="M6" s="68"/>
      <c r="N6" s="68"/>
      <c r="O6" s="68"/>
      <c r="P6" s="68"/>
      <c r="Q6" s="68"/>
      <c r="R6" s="68"/>
      <c r="S6" s="68"/>
      <c r="T6" s="68"/>
      <c r="U6" s="68"/>
      <c r="V6" s="68"/>
      <c r="AI6" s="2" t="s">
        <v>540</v>
      </c>
    </row>
    <row r="7" spans="2:35" ht="24.6">
      <c r="B7" s="3"/>
      <c r="C7" s="3"/>
      <c r="E7" s="68"/>
      <c r="F7" s="68"/>
      <c r="G7" s="68"/>
      <c r="H7" s="68"/>
      <c r="I7" s="68"/>
      <c r="J7" s="68"/>
      <c r="K7" s="68"/>
      <c r="L7" s="68"/>
      <c r="M7" s="68"/>
      <c r="N7" s="68"/>
      <c r="O7" s="68"/>
      <c r="P7" s="68"/>
      <c r="Q7" s="68"/>
      <c r="R7" s="68"/>
      <c r="S7" s="68"/>
      <c r="T7" s="68"/>
      <c r="U7" s="68"/>
      <c r="V7" s="68"/>
      <c r="AI7" s="2" t="s">
        <v>538</v>
      </c>
    </row>
    <row r="8" spans="2:35" ht="18.600000000000001">
      <c r="B8" s="85" t="s">
        <v>1</v>
      </c>
      <c r="C8" s="85"/>
    </row>
    <row r="9" spans="2:35">
      <c r="B9" s="3"/>
      <c r="C9" s="3"/>
      <c r="E9" s="88" t="s">
        <v>495</v>
      </c>
      <c r="F9" s="88"/>
      <c r="G9" s="88"/>
      <c r="H9" s="88"/>
      <c r="I9" s="88"/>
      <c r="J9" s="88"/>
      <c r="K9" s="88"/>
      <c r="L9" s="88"/>
      <c r="M9" s="88"/>
      <c r="N9" s="88"/>
      <c r="O9" s="88"/>
      <c r="P9" s="88"/>
      <c r="Q9" s="88"/>
      <c r="R9" s="88"/>
      <c r="S9" s="88"/>
      <c r="T9" s="88"/>
      <c r="U9" s="9"/>
      <c r="V9" s="9"/>
    </row>
    <row r="10" spans="2:35" ht="18.600000000000001">
      <c r="B10" s="85" t="s">
        <v>2</v>
      </c>
      <c r="C10" s="85"/>
      <c r="E10" s="88"/>
      <c r="F10" s="88"/>
      <c r="G10" s="88"/>
      <c r="H10" s="88"/>
      <c r="I10" s="88"/>
      <c r="J10" s="88"/>
      <c r="K10" s="88"/>
      <c r="L10" s="88"/>
      <c r="M10" s="88"/>
      <c r="N10" s="88"/>
      <c r="O10" s="88"/>
      <c r="P10" s="88"/>
      <c r="Q10" s="88"/>
      <c r="R10" s="88"/>
      <c r="S10" s="88"/>
      <c r="T10" s="88"/>
    </row>
    <row r="11" spans="2:35" ht="18.600000000000001">
      <c r="B11" s="85"/>
      <c r="C11" s="85"/>
      <c r="E11" s="88"/>
      <c r="F11" s="88"/>
      <c r="G11" s="88"/>
      <c r="H11" s="88"/>
      <c r="I11" s="88"/>
      <c r="J11" s="88"/>
      <c r="K11" s="88"/>
      <c r="L11" s="88"/>
      <c r="M11" s="88"/>
      <c r="N11" s="88"/>
      <c r="O11" s="88"/>
      <c r="P11" s="88"/>
      <c r="Q11" s="88"/>
      <c r="R11" s="88"/>
      <c r="S11" s="88"/>
      <c r="T11" s="88"/>
      <c r="U11" s="6"/>
      <c r="V11" s="6"/>
    </row>
    <row r="12" spans="2:35" ht="18.600000000000001">
      <c r="B12" s="85" t="s">
        <v>3</v>
      </c>
      <c r="C12" s="85"/>
      <c r="E12" s="6"/>
      <c r="F12" s="6"/>
      <c r="G12" s="6"/>
      <c r="H12" s="6"/>
      <c r="I12" s="6"/>
      <c r="J12" s="6"/>
      <c r="K12" s="6"/>
      <c r="L12" s="6"/>
      <c r="M12" s="6"/>
      <c r="N12" s="6"/>
      <c r="O12" s="6"/>
      <c r="P12" s="6"/>
      <c r="Q12" s="6"/>
      <c r="R12" s="6"/>
      <c r="S12" s="6"/>
      <c r="T12" s="6"/>
      <c r="U12" s="6"/>
      <c r="V12" s="6"/>
    </row>
    <row r="13" spans="2:35" ht="18.600000000000001">
      <c r="B13" s="85"/>
      <c r="C13" s="85"/>
      <c r="E13" s="6"/>
      <c r="F13" s="6"/>
      <c r="G13" s="6"/>
      <c r="H13" s="6"/>
      <c r="I13" s="6"/>
      <c r="J13" s="6"/>
      <c r="K13" s="6"/>
      <c r="L13" s="6"/>
      <c r="M13" s="6"/>
      <c r="N13" s="6"/>
      <c r="O13" s="6"/>
      <c r="P13" s="6"/>
      <c r="Q13" s="6"/>
      <c r="R13" s="6"/>
      <c r="S13" s="6"/>
      <c r="T13" s="6"/>
      <c r="U13" s="6"/>
      <c r="V13" s="6"/>
    </row>
    <row r="14" spans="2:35" ht="18.600000000000001">
      <c r="B14" s="85" t="s">
        <v>4</v>
      </c>
      <c r="C14" s="85"/>
      <c r="E14" s="48"/>
      <c r="F14" s="48"/>
      <c r="G14" s="93" t="s">
        <v>496</v>
      </c>
      <c r="H14" s="93"/>
      <c r="I14" s="6"/>
      <c r="J14" s="94"/>
      <c r="K14" s="94"/>
      <c r="L14" s="93" t="s">
        <v>497</v>
      </c>
      <c r="M14" s="93"/>
      <c r="N14" s="6"/>
      <c r="O14" s="94"/>
      <c r="P14" s="94"/>
      <c r="Q14" s="93" t="s">
        <v>498</v>
      </c>
      <c r="R14" s="93"/>
      <c r="S14" s="6"/>
      <c r="T14" s="93" t="s">
        <v>499</v>
      </c>
      <c r="U14" s="93"/>
      <c r="V14" s="93"/>
    </row>
    <row r="15" spans="2:35" ht="18.600000000000001">
      <c r="B15" s="85"/>
      <c r="C15" s="85"/>
      <c r="E15" s="48"/>
      <c r="F15" s="48"/>
      <c r="G15" s="93"/>
      <c r="H15" s="93"/>
      <c r="I15" s="6"/>
      <c r="J15" s="94"/>
      <c r="K15" s="94"/>
      <c r="L15" s="93"/>
      <c r="M15" s="93"/>
      <c r="N15" s="6"/>
      <c r="O15" s="94"/>
      <c r="P15" s="94"/>
      <c r="Q15" s="93"/>
      <c r="R15" s="93"/>
      <c r="S15" s="6"/>
      <c r="T15" s="93"/>
      <c r="U15" s="93"/>
      <c r="V15" s="93"/>
    </row>
    <row r="16" spans="2:35" ht="18.600000000000001">
      <c r="B16" s="85" t="s">
        <v>523</v>
      </c>
      <c r="C16" s="85"/>
      <c r="E16" s="48"/>
      <c r="F16" s="48"/>
      <c r="G16" s="93"/>
      <c r="H16" s="93"/>
      <c r="I16" s="6"/>
      <c r="J16" s="94"/>
      <c r="K16" s="94"/>
      <c r="L16" s="93"/>
      <c r="M16" s="93"/>
      <c r="N16" s="6"/>
      <c r="O16" s="94"/>
      <c r="P16" s="94"/>
      <c r="Q16" s="93"/>
      <c r="R16" s="93"/>
      <c r="S16" s="6"/>
      <c r="T16" s="93"/>
      <c r="U16" s="93"/>
      <c r="V16" s="93"/>
    </row>
    <row r="17" spans="2:22" ht="18.600000000000001">
      <c r="B17" s="85"/>
      <c r="C17" s="85"/>
      <c r="E17" s="48"/>
      <c r="F17" s="48"/>
      <c r="G17" s="93"/>
      <c r="H17" s="93"/>
      <c r="I17" s="6"/>
      <c r="J17" s="94"/>
      <c r="K17" s="94"/>
      <c r="L17" s="93"/>
      <c r="M17" s="93"/>
      <c r="N17" s="6"/>
      <c r="O17" s="94"/>
      <c r="P17" s="94"/>
      <c r="Q17" s="93"/>
      <c r="R17" s="93"/>
      <c r="S17" s="6"/>
      <c r="T17" s="93"/>
      <c r="U17" s="93"/>
      <c r="V17" s="93"/>
    </row>
    <row r="18" spans="2:22" ht="18.600000000000001">
      <c r="B18" s="85" t="s">
        <v>432</v>
      </c>
      <c r="C18" s="85"/>
      <c r="E18" s="48"/>
      <c r="F18" s="48"/>
      <c r="G18" s="93"/>
      <c r="H18" s="93"/>
      <c r="I18" s="6"/>
      <c r="J18" s="94"/>
      <c r="K18" s="94"/>
      <c r="L18" s="93"/>
      <c r="M18" s="93"/>
      <c r="N18" s="6"/>
      <c r="O18" s="94"/>
      <c r="P18" s="94"/>
      <c r="Q18" s="93"/>
      <c r="R18" s="93"/>
      <c r="S18" s="6"/>
      <c r="T18" s="93"/>
      <c r="U18" s="93"/>
      <c r="V18" s="93"/>
    </row>
    <row r="19" spans="2:22" ht="18.600000000000001">
      <c r="B19" s="85"/>
      <c r="C19" s="85"/>
      <c r="E19" s="48"/>
      <c r="F19" s="48"/>
      <c r="G19" s="93"/>
      <c r="H19" s="93"/>
      <c r="I19" s="6"/>
      <c r="J19" s="94"/>
      <c r="K19" s="94"/>
      <c r="L19" s="93"/>
      <c r="M19" s="93"/>
      <c r="N19" s="6"/>
      <c r="O19" s="94"/>
      <c r="P19" s="94"/>
      <c r="Q19" s="93"/>
      <c r="R19" s="93"/>
      <c r="S19" s="6"/>
      <c r="T19" s="93"/>
      <c r="U19" s="93"/>
      <c r="V19" s="93"/>
    </row>
    <row r="20" spans="2:22" ht="18.600000000000001">
      <c r="B20" s="85" t="s">
        <v>433</v>
      </c>
      <c r="C20" s="85"/>
      <c r="E20" s="6"/>
      <c r="F20" s="6"/>
      <c r="G20" s="6"/>
      <c r="H20" s="6"/>
      <c r="I20" s="21"/>
      <c r="J20" s="6"/>
      <c r="K20" s="6"/>
      <c r="L20" s="6"/>
      <c r="M20" s="6"/>
      <c r="N20" s="6"/>
      <c r="O20" s="6"/>
      <c r="P20" s="6"/>
      <c r="Q20" s="6"/>
      <c r="R20" s="6"/>
      <c r="S20" s="6"/>
      <c r="T20" s="6"/>
      <c r="U20" s="6"/>
      <c r="V20" s="6"/>
    </row>
    <row r="21" spans="2:22" ht="18.600000000000001">
      <c r="B21" s="85"/>
      <c r="C21" s="85"/>
      <c r="E21" s="6"/>
      <c r="F21" s="6"/>
      <c r="G21" s="6"/>
      <c r="H21" s="6"/>
      <c r="I21" s="6"/>
      <c r="J21" s="6"/>
      <c r="K21" s="6"/>
      <c r="L21" s="6"/>
      <c r="M21" s="6"/>
      <c r="N21" s="6"/>
      <c r="O21" s="6"/>
      <c r="P21" s="6"/>
      <c r="Q21" s="6"/>
      <c r="R21" s="6"/>
      <c r="S21" s="6"/>
      <c r="T21" s="6"/>
      <c r="U21" s="6"/>
      <c r="V21" s="6"/>
    </row>
    <row r="22" spans="2:22" ht="15">
      <c r="E22" s="6"/>
      <c r="F22" s="6"/>
      <c r="G22" s="6"/>
      <c r="H22" s="6"/>
      <c r="I22" s="6"/>
      <c r="J22" s="6"/>
      <c r="K22" s="6"/>
      <c r="L22" s="6"/>
      <c r="M22" s="6"/>
      <c r="N22" s="6"/>
      <c r="O22" s="6"/>
      <c r="P22" s="6"/>
      <c r="Q22" s="6"/>
      <c r="R22" s="6"/>
      <c r="S22" s="6"/>
      <c r="T22" s="6"/>
      <c r="U22" s="6"/>
      <c r="V22" s="6"/>
    </row>
    <row r="23" spans="2:22" ht="15">
      <c r="E23" s="95" t="s">
        <v>494</v>
      </c>
      <c r="F23" s="95"/>
      <c r="G23" s="95"/>
      <c r="H23" s="95"/>
      <c r="I23" s="95"/>
      <c r="J23" s="95"/>
      <c r="K23" s="95"/>
      <c r="L23" s="95"/>
      <c r="M23" s="95"/>
      <c r="N23" s="95"/>
      <c r="O23" s="95"/>
      <c r="P23" s="95"/>
      <c r="Q23" s="95"/>
      <c r="R23" s="95"/>
      <c r="S23" s="95"/>
      <c r="T23" s="47"/>
      <c r="U23" s="47"/>
      <c r="V23" s="47"/>
    </row>
    <row r="24" spans="2:22" ht="15.6">
      <c r="E24" s="95"/>
      <c r="F24" s="95"/>
      <c r="G24" s="95"/>
      <c r="H24" s="95"/>
      <c r="I24" s="95"/>
      <c r="J24" s="95"/>
      <c r="K24" s="95"/>
      <c r="L24" s="95"/>
      <c r="M24" s="95"/>
      <c r="N24" s="95"/>
      <c r="O24" s="95"/>
      <c r="P24" s="95"/>
      <c r="Q24" s="95"/>
      <c r="R24" s="95"/>
      <c r="S24" s="95"/>
      <c r="T24" s="92" t="s">
        <v>486</v>
      </c>
      <c r="U24" s="92"/>
      <c r="V24" s="47"/>
    </row>
    <row r="25" spans="2:22" ht="15">
      <c r="E25" s="95"/>
      <c r="F25" s="95"/>
      <c r="G25" s="95"/>
      <c r="H25" s="95"/>
      <c r="I25" s="95"/>
      <c r="J25" s="95"/>
      <c r="K25" s="95"/>
      <c r="L25" s="95"/>
      <c r="M25" s="95"/>
      <c r="N25" s="95"/>
      <c r="O25" s="95"/>
      <c r="P25" s="95"/>
      <c r="Q25" s="95"/>
      <c r="R25" s="95"/>
      <c r="S25" s="95"/>
      <c r="T25" s="47"/>
      <c r="U25" s="47"/>
      <c r="V25" s="47"/>
    </row>
    <row r="26" spans="2:22" ht="15">
      <c r="E26" s="6"/>
      <c r="F26" s="6"/>
      <c r="G26" s="6"/>
      <c r="H26" s="6"/>
      <c r="I26" s="6"/>
      <c r="J26" s="6"/>
      <c r="K26" s="6"/>
      <c r="L26" s="6"/>
      <c r="M26" s="6"/>
      <c r="N26" s="6"/>
      <c r="O26" s="6"/>
      <c r="P26" s="6"/>
      <c r="Q26" s="6"/>
      <c r="R26" s="6"/>
      <c r="S26" s="6"/>
      <c r="T26" s="6"/>
      <c r="U26" s="6"/>
      <c r="V26" s="6"/>
    </row>
    <row r="27" spans="2:22" ht="15">
      <c r="E27" s="6"/>
      <c r="F27" s="6"/>
      <c r="G27" s="6"/>
      <c r="H27" s="6"/>
      <c r="I27" s="6"/>
      <c r="J27" s="6"/>
      <c r="K27" s="6"/>
      <c r="L27" s="6"/>
      <c r="M27" s="21"/>
      <c r="N27" s="6"/>
      <c r="O27" s="6"/>
      <c r="P27" s="6"/>
      <c r="Q27" s="6"/>
      <c r="R27" s="6"/>
      <c r="S27" s="6"/>
      <c r="T27" s="6"/>
      <c r="U27" s="6"/>
      <c r="V27" s="6"/>
    </row>
    <row r="28" spans="2:22" ht="15">
      <c r="E28" s="6"/>
      <c r="F28" s="6"/>
      <c r="G28" s="6"/>
      <c r="H28" s="6"/>
      <c r="I28" s="6"/>
      <c r="J28" s="6"/>
      <c r="K28" s="6"/>
      <c r="L28" s="6"/>
      <c r="M28" s="6"/>
      <c r="N28" s="6"/>
      <c r="O28" s="6"/>
      <c r="P28" s="6"/>
      <c r="Q28" s="6"/>
      <c r="R28" s="6"/>
      <c r="S28" s="6"/>
      <c r="T28" s="6"/>
      <c r="U28" s="6"/>
      <c r="V28" s="6"/>
    </row>
  </sheetData>
  <sheetProtection algorithmName="SHA-512" hashValue="4ntlPkatnZL2PSBLRTyVQCOA+2RHFRmc5TkB+MwM2iTcGvkY8Iu60r8r47dRrXGEfyHfN+AOpnjyMvDpEwE8Og==" saltValue="N8dhnktUYfcrF9xqPzUNYQ==" spinCount="100000" sheet="1"/>
  <mergeCells count="26">
    <mergeCell ref="T24:U24"/>
    <mergeCell ref="T14:V19"/>
    <mergeCell ref="G14:H19"/>
    <mergeCell ref="L14:M19"/>
    <mergeCell ref="J14:K19"/>
    <mergeCell ref="O14:P19"/>
    <mergeCell ref="Q14:R19"/>
    <mergeCell ref="E23:S25"/>
    <mergeCell ref="E2:V3"/>
    <mergeCell ref="E9:T11"/>
    <mergeCell ref="B2:C4"/>
    <mergeCell ref="B6:C6"/>
    <mergeCell ref="B8:C8"/>
    <mergeCell ref="I6:J6"/>
    <mergeCell ref="B11:C11"/>
    <mergeCell ref="B21:C21"/>
    <mergeCell ref="B16:C16"/>
    <mergeCell ref="B18:C18"/>
    <mergeCell ref="B20:C20"/>
    <mergeCell ref="B10:C10"/>
    <mergeCell ref="B12:C12"/>
    <mergeCell ref="B14:C14"/>
    <mergeCell ref="B13:C13"/>
    <mergeCell ref="B15:C15"/>
    <mergeCell ref="B17:C17"/>
    <mergeCell ref="B19:C19"/>
  </mergeCells>
  <phoneticPr fontId="40"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pageSetUpPr fitToPage="1"/>
  </sheetPr>
  <dimension ref="A1:W54"/>
  <sheetViews>
    <sheetView tabSelected="1" topLeftCell="B19" zoomScaleNormal="100" workbookViewId="0">
      <selection activeCell="D32" sqref="D32:I39"/>
    </sheetView>
  </sheetViews>
  <sheetFormatPr baseColWidth="10" defaultColWidth="11.44140625" defaultRowHeight="15"/>
  <cols>
    <col min="1" max="2" width="16.88671875" style="23" customWidth="1"/>
    <col min="3" max="3" width="11.44140625" style="23"/>
    <col min="4" max="4" width="40.44140625" style="23" customWidth="1"/>
    <col min="5" max="5" width="14.44140625" style="23" bestFit="1" customWidth="1"/>
    <col min="6" max="6" width="11.44140625" style="23"/>
    <col min="7" max="7" width="29" style="23" customWidth="1"/>
    <col min="8" max="8" width="18.44140625" style="23" customWidth="1"/>
    <col min="9" max="11" width="11.44140625" style="23"/>
    <col min="12" max="14" width="9.109375" style="23" customWidth="1"/>
    <col min="15" max="21" width="11.44140625" style="23"/>
    <col min="22" max="23" width="0" style="23" hidden="1" customWidth="1"/>
    <col min="24" max="16384" width="11.44140625" style="23"/>
  </cols>
  <sheetData>
    <row r="1" spans="1:23">
      <c r="G1" s="52"/>
    </row>
    <row r="2" spans="1:23" ht="34.5" customHeight="1">
      <c r="C2" s="22"/>
      <c r="D2" s="22"/>
      <c r="E2" s="22"/>
      <c r="F2" s="22"/>
      <c r="G2" s="22"/>
      <c r="H2" s="22"/>
      <c r="I2" s="22"/>
      <c r="J2" s="22"/>
    </row>
    <row r="3" spans="1:23" ht="38.1" customHeight="1">
      <c r="C3" s="22"/>
      <c r="D3" s="22"/>
      <c r="E3" s="22"/>
      <c r="F3"/>
      <c r="G3" s="22"/>
      <c r="H3" s="22"/>
      <c r="I3" s="22"/>
      <c r="J3" s="22"/>
      <c r="L3" s="44"/>
      <c r="M3" s="44"/>
      <c r="N3" s="44"/>
    </row>
    <row r="4" spans="1:23">
      <c r="C4" s="22"/>
      <c r="D4" s="22"/>
      <c r="E4" s="22"/>
      <c r="F4" s="22"/>
      <c r="G4" s="22"/>
      <c r="H4" s="22"/>
      <c r="I4" s="22"/>
      <c r="J4" s="22"/>
      <c r="L4" s="203" t="s">
        <v>493</v>
      </c>
      <c r="M4" s="203"/>
      <c r="N4" s="203"/>
    </row>
    <row r="5" spans="1:23" ht="28.2">
      <c r="A5" s="4"/>
      <c r="B5" s="4"/>
      <c r="C5" s="22"/>
      <c r="D5" s="253" t="s">
        <v>471</v>
      </c>
      <c r="E5" s="253"/>
      <c r="F5" s="253"/>
      <c r="G5" s="253"/>
      <c r="H5" s="253"/>
      <c r="I5" s="253"/>
      <c r="J5" s="24"/>
      <c r="K5" s="25"/>
      <c r="L5" s="203"/>
      <c r="M5" s="203"/>
      <c r="N5" s="203"/>
      <c r="O5" s="25"/>
    </row>
    <row r="6" spans="1:23" ht="28.2">
      <c r="A6" s="85" t="s">
        <v>543</v>
      </c>
      <c r="B6" s="85"/>
      <c r="C6" s="22"/>
      <c r="D6" s="253" t="str">
        <f>"Plantilla de Certificado de Control Interno semestre "&amp;Portada!I6</f>
        <v>Plantilla de Certificado de Control Interno semestre II - 2024</v>
      </c>
      <c r="E6" s="253"/>
      <c r="F6" s="253"/>
      <c r="G6" s="253"/>
      <c r="H6" s="253"/>
      <c r="I6" s="253"/>
      <c r="J6" s="24"/>
      <c r="K6" s="25"/>
      <c r="L6" s="203"/>
      <c r="M6" s="203"/>
      <c r="N6" s="203"/>
      <c r="O6" s="25"/>
    </row>
    <row r="7" spans="1:23" ht="19.5" customHeight="1">
      <c r="A7" s="3"/>
      <c r="B7" s="3"/>
      <c r="C7" s="22"/>
      <c r="D7" s="22"/>
      <c r="E7" s="22"/>
      <c r="F7" s="22"/>
      <c r="G7" s="22"/>
      <c r="H7" s="22"/>
      <c r="I7" s="22"/>
      <c r="J7" s="24"/>
      <c r="K7" s="25"/>
      <c r="L7" s="203"/>
      <c r="M7" s="203"/>
      <c r="N7" s="203"/>
      <c r="O7" s="25"/>
    </row>
    <row r="8" spans="1:23" ht="19.5" customHeight="1">
      <c r="A8" s="85" t="s">
        <v>1</v>
      </c>
      <c r="B8" s="85"/>
      <c r="C8" s="22"/>
      <c r="D8" s="22"/>
      <c r="E8" s="22"/>
      <c r="F8" s="22"/>
      <c r="G8" s="22"/>
      <c r="H8" s="22"/>
      <c r="I8" s="22"/>
      <c r="J8" s="71">
        <f>+VLOOKUP(E9,Administrador!$I$2:$J$338,2,0)</f>
        <v>0</v>
      </c>
      <c r="K8" s="26"/>
      <c r="L8" s="203"/>
      <c r="M8" s="203"/>
      <c r="N8" s="203"/>
      <c r="O8" s="26"/>
    </row>
    <row r="9" spans="1:23" ht="19.5" customHeight="1">
      <c r="A9" s="3"/>
      <c r="B9" s="3"/>
      <c r="C9" s="22"/>
      <c r="D9" s="72" t="s">
        <v>484</v>
      </c>
      <c r="E9" s="251" t="s">
        <v>423</v>
      </c>
      <c r="F9" s="251"/>
      <c r="G9" s="251"/>
      <c r="H9" s="251"/>
      <c r="I9" s="251"/>
      <c r="J9" s="71">
        <f>+VLOOKUP(E9,Administrador!$I$2:$J$338,2,0)</f>
        <v>0</v>
      </c>
      <c r="K9" s="26"/>
      <c r="L9" s="203"/>
      <c r="M9" s="203"/>
      <c r="N9" s="203"/>
      <c r="O9" s="26"/>
    </row>
    <row r="10" spans="1:23" ht="17.25" customHeight="1">
      <c r="A10" s="85" t="s">
        <v>2</v>
      </c>
      <c r="B10" s="85"/>
      <c r="C10" s="22"/>
      <c r="D10" s="73" t="str">
        <f>IFERROR(IF(J9=1,"Digite el nombre de la entidad",IF(J9=2,"Digite el nombre de la Seccional","")),"")</f>
        <v/>
      </c>
      <c r="E10" s="254"/>
      <c r="F10" s="254"/>
      <c r="G10" s="254"/>
      <c r="H10" s="254"/>
      <c r="I10" s="254"/>
      <c r="J10" s="22"/>
      <c r="L10" s="252" t="s">
        <v>486</v>
      </c>
      <c r="M10" s="252"/>
      <c r="N10" s="252"/>
    </row>
    <row r="11" spans="1:23" ht="18.75" customHeight="1">
      <c r="A11" s="85"/>
      <c r="B11" s="85"/>
      <c r="C11" s="22"/>
      <c r="D11" s="22"/>
      <c r="E11" s="22"/>
      <c r="F11" s="22"/>
      <c r="G11" s="22"/>
      <c r="H11" s="22"/>
      <c r="I11" s="22"/>
      <c r="J11" s="22"/>
      <c r="L11" s="45"/>
      <c r="M11" s="45"/>
      <c r="N11" s="45"/>
    </row>
    <row r="12" spans="1:23" ht="18.600000000000001">
      <c r="A12" s="85" t="s">
        <v>3</v>
      </c>
      <c r="B12" s="85"/>
      <c r="C12" s="22"/>
      <c r="D12" s="72" t="s">
        <v>483</v>
      </c>
      <c r="E12" s="251" t="s">
        <v>652</v>
      </c>
      <c r="F12" s="251"/>
      <c r="G12" s="251"/>
      <c r="H12" s="251"/>
      <c r="I12" s="251"/>
      <c r="J12" s="31"/>
      <c r="L12" s="45"/>
      <c r="M12" s="45"/>
      <c r="N12" s="45"/>
      <c r="W12" s="23" t="s">
        <v>472</v>
      </c>
    </row>
    <row r="13" spans="1:23" ht="18.600000000000001">
      <c r="A13" s="85"/>
      <c r="B13" s="85"/>
      <c r="C13" s="22"/>
      <c r="D13" s="22"/>
      <c r="E13" s="22"/>
      <c r="F13" s="22"/>
      <c r="G13" s="22"/>
      <c r="H13" s="22"/>
      <c r="I13" s="38"/>
      <c r="J13" s="22"/>
      <c r="L13" s="46"/>
      <c r="M13" s="46"/>
      <c r="N13" s="46"/>
      <c r="W13" s="23" t="s">
        <v>473</v>
      </c>
    </row>
    <row r="14" spans="1:23" ht="18.600000000000001">
      <c r="A14" s="85" t="s">
        <v>4</v>
      </c>
      <c r="B14" s="85"/>
      <c r="C14" s="22"/>
      <c r="D14" s="27" t="s">
        <v>461</v>
      </c>
      <c r="E14" s="28" t="s">
        <v>541</v>
      </c>
      <c r="F14" s="22"/>
      <c r="G14" s="27" t="s">
        <v>480</v>
      </c>
      <c r="H14" s="247" t="s">
        <v>542</v>
      </c>
      <c r="I14" s="247"/>
      <c r="J14" s="22"/>
      <c r="W14" s="23" t="s">
        <v>474</v>
      </c>
    </row>
    <row r="15" spans="1:23" ht="17.25" customHeight="1">
      <c r="A15" s="85"/>
      <c r="B15" s="85"/>
      <c r="C15" s="22"/>
      <c r="D15" s="35" t="s">
        <v>462</v>
      </c>
      <c r="E15" s="49">
        <f>(COUNTIF(Usuarios!H12:I23,"Si")+Abogados!H9)/(COUNTIF(Usuarios!H12:I23,"Si")+Abogados!H9+COUNTIF(Usuarios!H12:I23,"No"))</f>
        <v>1</v>
      </c>
      <c r="F15" s="22"/>
      <c r="G15" s="29" t="s">
        <v>481</v>
      </c>
      <c r="H15" s="248" t="str">
        <f>+'Comité de conciliación'!N8</f>
        <v>Si</v>
      </c>
      <c r="I15" s="248"/>
      <c r="J15" s="22"/>
    </row>
    <row r="16" spans="1:23" ht="17.25" customHeight="1">
      <c r="A16" s="85" t="s">
        <v>523</v>
      </c>
      <c r="B16" s="85"/>
      <c r="C16" s="22"/>
      <c r="D16" s="36" t="s">
        <v>463</v>
      </c>
      <c r="E16" s="80">
        <f>+COUNTIF(Usuarios!H12:I23,"Si")+Abogados!H9</f>
        <v>8</v>
      </c>
      <c r="F16" s="22"/>
      <c r="G16" s="31" t="s">
        <v>482</v>
      </c>
      <c r="H16" s="250" t="str">
        <f>+'Comité de conciliación'!N10</f>
        <v>Si</v>
      </c>
      <c r="I16" s="250"/>
      <c r="J16" s="22"/>
    </row>
    <row r="17" spans="1:10" ht="19.2">
      <c r="A17" s="85"/>
      <c r="B17" s="85"/>
      <c r="C17" s="22"/>
      <c r="D17" s="35" t="s">
        <v>586</v>
      </c>
      <c r="E17" s="84">
        <f>+(Abogados!I19+Abogados!I21)/(Abogados!I15*2)</f>
        <v>1</v>
      </c>
      <c r="F17" s="22"/>
      <c r="G17" s="35" t="s">
        <v>587</v>
      </c>
      <c r="H17" s="249">
        <f>+'Comité de conciliación'!J20+'Comité de conciliación'!J21+'Comité de conciliación'!J22</f>
        <v>4</v>
      </c>
      <c r="I17" s="249"/>
      <c r="J17" s="22"/>
    </row>
    <row r="18" spans="1:10" ht="19.2">
      <c r="A18" s="85" t="s">
        <v>432</v>
      </c>
      <c r="B18" s="85"/>
      <c r="C18" s="22"/>
      <c r="D18" s="36" t="s">
        <v>464</v>
      </c>
      <c r="E18" s="37">
        <f>+(Usuarios!T13+Usuarios!T15+Usuarios!T17+Usuarios!T19+Usuarios!T21+Usuarios!T23+Abogados!S20+Abogados!S22+Abogados!S24+Abogados!S26)/(E16*2)</f>
        <v>0.875</v>
      </c>
      <c r="F18" s="22"/>
      <c r="G18" s="22"/>
      <c r="H18" s="22"/>
      <c r="I18" s="22"/>
      <c r="J18" s="22"/>
    </row>
    <row r="19" spans="1:10" ht="18.600000000000001">
      <c r="A19" s="85"/>
      <c r="B19" s="85"/>
      <c r="C19" s="22"/>
      <c r="D19" s="22"/>
      <c r="E19" s="22"/>
      <c r="F19" s="22"/>
      <c r="G19" s="27" t="s">
        <v>475</v>
      </c>
      <c r="H19" s="247" t="s">
        <v>542</v>
      </c>
      <c r="I19" s="247"/>
      <c r="J19" s="22"/>
    </row>
    <row r="20" spans="1:10" ht="18.600000000000001">
      <c r="A20" s="85" t="s">
        <v>433</v>
      </c>
      <c r="B20" s="85"/>
      <c r="C20" s="22"/>
      <c r="D20" s="27" t="s">
        <v>470</v>
      </c>
      <c r="E20" s="27" t="s">
        <v>542</v>
      </c>
      <c r="F20" s="22"/>
      <c r="G20" s="29" t="s">
        <v>476</v>
      </c>
      <c r="H20" s="248">
        <f>+Arbitramentos!L11</f>
        <v>0</v>
      </c>
      <c r="I20" s="248"/>
      <c r="J20" s="22"/>
    </row>
    <row r="21" spans="1:10" ht="18.600000000000001">
      <c r="A21" s="85"/>
      <c r="B21" s="85"/>
      <c r="C21" s="22"/>
      <c r="D21" s="29" t="s">
        <v>466</v>
      </c>
      <c r="E21" s="33">
        <f>+Judiciales!L13</f>
        <v>50</v>
      </c>
      <c r="F21" s="22"/>
      <c r="G21" s="31" t="s">
        <v>465</v>
      </c>
      <c r="H21" s="259" t="str">
        <f>IFERROR(Arbitramentos!L12/Arbitramentos!L10,"")</f>
        <v/>
      </c>
      <c r="I21" s="259"/>
      <c r="J21" s="22"/>
    </row>
    <row r="22" spans="1:10">
      <c r="C22" s="22"/>
      <c r="D22" s="31" t="s">
        <v>465</v>
      </c>
      <c r="E22" s="34">
        <f>+Judiciales!L13/Judiciales!L11</f>
        <v>1</v>
      </c>
      <c r="F22" s="22"/>
      <c r="G22" s="22"/>
      <c r="H22" s="22"/>
      <c r="I22" s="22"/>
      <c r="J22" s="22"/>
    </row>
    <row r="23" spans="1:10">
      <c r="C23" s="22"/>
      <c r="D23" s="29" t="s">
        <v>467</v>
      </c>
      <c r="E23" s="30" t="e">
        <f>+Judiciales!U14/Judiciales!U16</f>
        <v>#DIV/0!</v>
      </c>
      <c r="F23" s="22"/>
      <c r="G23" s="27" t="s">
        <v>477</v>
      </c>
      <c r="H23" s="247" t="s">
        <v>542</v>
      </c>
      <c r="I23" s="247"/>
      <c r="J23" s="22"/>
    </row>
    <row r="24" spans="1:10">
      <c r="C24" s="22"/>
      <c r="D24" s="31" t="s">
        <v>468</v>
      </c>
      <c r="E24" s="32">
        <f>+Judiciales!L13/Abogados!H9</f>
        <v>25</v>
      </c>
      <c r="F24" s="22"/>
      <c r="G24" s="29" t="s">
        <v>478</v>
      </c>
      <c r="H24" s="248" t="str">
        <f>IF(Pagos!E11&gt;0,"Si","No")</f>
        <v>No</v>
      </c>
      <c r="I24" s="248"/>
      <c r="J24" s="22"/>
    </row>
    <row r="25" spans="1:10">
      <c r="C25" s="22"/>
      <c r="D25" s="29" t="s">
        <v>469</v>
      </c>
      <c r="E25" s="30">
        <f>+(Judiciales!V41+Judiciales!V39+Judiciales!V37)/(Judiciales!S40+Judiciales!S38+Judiciales!S36+Judiciales!S34)</f>
        <v>0</v>
      </c>
      <c r="F25" s="22"/>
      <c r="G25" s="31" t="s">
        <v>479</v>
      </c>
      <c r="H25" s="250" t="str">
        <f>+Pagos!M6</f>
        <v>NO</v>
      </c>
      <c r="I25" s="250"/>
      <c r="J25" s="22"/>
    </row>
    <row r="26" spans="1:10">
      <c r="C26" s="22"/>
      <c r="D26" s="22"/>
      <c r="E26" s="22"/>
      <c r="F26" s="22"/>
      <c r="G26" s="31"/>
      <c r="H26" s="32"/>
      <c r="I26" s="22"/>
      <c r="J26" s="22"/>
    </row>
    <row r="27" spans="1:10">
      <c r="C27" s="22"/>
      <c r="D27" s="22"/>
      <c r="E27" s="22"/>
      <c r="F27" s="22"/>
      <c r="G27" s="22"/>
      <c r="H27" s="22"/>
      <c r="I27" s="22"/>
      <c r="J27" s="22"/>
    </row>
    <row r="28" spans="1:10">
      <c r="C28" s="22"/>
      <c r="D28" s="22"/>
      <c r="E28" s="22"/>
      <c r="F28" s="22"/>
      <c r="G28" s="22"/>
      <c r="H28" s="22"/>
      <c r="I28" s="22"/>
      <c r="J28" s="22"/>
    </row>
    <row r="29" spans="1:10">
      <c r="C29" s="22"/>
      <c r="D29" s="22"/>
      <c r="E29" s="22"/>
      <c r="F29" s="22"/>
      <c r="G29" s="22"/>
      <c r="H29" s="22"/>
      <c r="I29" s="22"/>
      <c r="J29" s="22"/>
    </row>
    <row r="30" spans="1:10">
      <c r="C30" s="22"/>
      <c r="D30" s="22"/>
      <c r="E30" s="22"/>
      <c r="F30" s="22"/>
      <c r="G30" s="22"/>
      <c r="H30" s="22"/>
      <c r="I30" s="22"/>
      <c r="J30" s="22"/>
    </row>
    <row r="31" spans="1:10">
      <c r="C31" s="22"/>
      <c r="D31" s="27" t="s">
        <v>547</v>
      </c>
      <c r="E31" s="22"/>
      <c r="F31" s="22"/>
      <c r="G31" s="22"/>
      <c r="H31" s="22"/>
      <c r="I31" s="22"/>
      <c r="J31" s="22"/>
    </row>
    <row r="32" spans="1:10">
      <c r="C32" s="22"/>
      <c r="D32" s="256" t="s">
        <v>662</v>
      </c>
      <c r="E32" s="257"/>
      <c r="F32" s="257"/>
      <c r="G32" s="257"/>
      <c r="H32" s="257"/>
      <c r="I32" s="257"/>
      <c r="J32" s="22"/>
    </row>
    <row r="33" spans="3:10">
      <c r="C33" s="22"/>
      <c r="D33" s="257"/>
      <c r="E33" s="257"/>
      <c r="F33" s="257"/>
      <c r="G33" s="257"/>
      <c r="H33" s="257"/>
      <c r="I33" s="257"/>
      <c r="J33" s="22"/>
    </row>
    <row r="34" spans="3:10">
      <c r="C34" s="22"/>
      <c r="D34" s="257"/>
      <c r="E34" s="257"/>
      <c r="F34" s="257"/>
      <c r="G34" s="257"/>
      <c r="H34" s="257"/>
      <c r="I34" s="257"/>
      <c r="J34" s="22"/>
    </row>
    <row r="35" spans="3:10">
      <c r="C35" s="22"/>
      <c r="D35" s="257"/>
      <c r="E35" s="257"/>
      <c r="F35" s="257"/>
      <c r="G35" s="257"/>
      <c r="H35" s="257"/>
      <c r="I35" s="257"/>
      <c r="J35" s="22"/>
    </row>
    <row r="36" spans="3:10">
      <c r="C36" s="22"/>
      <c r="D36" s="257"/>
      <c r="E36" s="257"/>
      <c r="F36" s="257"/>
      <c r="G36" s="257"/>
      <c r="H36" s="257"/>
      <c r="I36" s="257"/>
      <c r="J36" s="22"/>
    </row>
    <row r="37" spans="3:10">
      <c r="C37" s="22"/>
      <c r="D37" s="257"/>
      <c r="E37" s="257"/>
      <c r="F37" s="257"/>
      <c r="G37" s="257"/>
      <c r="H37" s="257"/>
      <c r="I37" s="257"/>
      <c r="J37" s="22"/>
    </row>
    <row r="38" spans="3:10">
      <c r="C38" s="22"/>
      <c r="D38" s="257"/>
      <c r="E38" s="257"/>
      <c r="F38" s="257"/>
      <c r="G38" s="257"/>
      <c r="H38" s="257"/>
      <c r="I38" s="257"/>
      <c r="J38" s="22"/>
    </row>
    <row r="39" spans="3:10">
      <c r="C39" s="22"/>
      <c r="D39" s="257"/>
      <c r="E39" s="257"/>
      <c r="F39" s="257"/>
      <c r="G39" s="257"/>
      <c r="H39" s="257"/>
      <c r="I39" s="257"/>
      <c r="J39" s="22"/>
    </row>
    <row r="40" spans="3:10">
      <c r="C40" s="22"/>
      <c r="D40" s="60"/>
      <c r="E40" s="60"/>
      <c r="F40" s="60"/>
      <c r="G40" s="60"/>
      <c r="H40" s="60"/>
      <c r="I40" s="60"/>
      <c r="J40" s="22"/>
    </row>
    <row r="41" spans="3:10">
      <c r="C41" s="22"/>
      <c r="D41" s="258" t="s">
        <v>546</v>
      </c>
      <c r="E41" s="258"/>
      <c r="F41" s="258"/>
      <c r="G41" s="258"/>
      <c r="H41" s="258"/>
      <c r="I41" s="258"/>
      <c r="J41" s="22"/>
    </row>
    <row r="42" spans="3:10">
      <c r="C42" s="22"/>
      <c r="D42" s="258"/>
      <c r="E42" s="258"/>
      <c r="F42" s="258"/>
      <c r="G42" s="258"/>
      <c r="H42" s="258"/>
      <c r="I42" s="258"/>
      <c r="J42" s="22"/>
    </row>
    <row r="43" spans="3:10" ht="17.100000000000001" customHeight="1">
      <c r="C43" s="22"/>
      <c r="D43" s="258"/>
      <c r="E43" s="258"/>
      <c r="F43" s="258"/>
      <c r="G43" s="258"/>
      <c r="H43" s="258"/>
      <c r="I43" s="258"/>
      <c r="J43" s="22"/>
    </row>
    <row r="44" spans="3:10" ht="20.25" customHeight="1">
      <c r="C44" s="22"/>
      <c r="D44" s="22"/>
      <c r="E44" s="22"/>
      <c r="F44" s="22"/>
      <c r="G44" s="22"/>
      <c r="H44" s="22"/>
      <c r="I44" s="22"/>
      <c r="J44" s="22"/>
    </row>
    <row r="45" spans="3:10" ht="22.5" customHeight="1">
      <c r="C45" s="22"/>
      <c r="D45" s="258" t="s">
        <v>530</v>
      </c>
      <c r="E45" s="258"/>
      <c r="F45" s="258"/>
      <c r="G45" s="258"/>
      <c r="H45" s="258"/>
      <c r="I45" s="258"/>
      <c r="J45" s="22"/>
    </row>
    <row r="46" spans="3:10" ht="22.5" customHeight="1">
      <c r="C46" s="22"/>
      <c r="D46" s="258"/>
      <c r="E46" s="258"/>
      <c r="F46" s="258"/>
      <c r="G46" s="258"/>
      <c r="H46" s="258"/>
      <c r="I46" s="258"/>
      <c r="J46" s="22"/>
    </row>
    <row r="47" spans="3:10" ht="22.5" customHeight="1">
      <c r="C47" s="22"/>
      <c r="D47" s="258"/>
      <c r="E47" s="258"/>
      <c r="F47" s="258"/>
      <c r="G47" s="258"/>
      <c r="H47" s="258"/>
      <c r="I47" s="258"/>
      <c r="J47" s="22"/>
    </row>
    <row r="48" spans="3:10" ht="22.5" customHeight="1">
      <c r="C48" s="22"/>
      <c r="D48" s="258"/>
      <c r="E48" s="258"/>
      <c r="F48" s="258"/>
      <c r="G48" s="258"/>
      <c r="H48" s="258"/>
      <c r="I48" s="258"/>
      <c r="J48" s="22"/>
    </row>
    <row r="49" spans="3:10">
      <c r="C49" s="22"/>
      <c r="D49" s="22"/>
      <c r="E49" s="22"/>
      <c r="F49" s="22"/>
      <c r="G49" s="22"/>
      <c r="H49" s="22"/>
      <c r="I49" s="22"/>
      <c r="J49" s="22"/>
    </row>
    <row r="50" spans="3:10" ht="15.6">
      <c r="C50" s="22"/>
      <c r="D50" s="22"/>
      <c r="E50" s="247" t="s">
        <v>545</v>
      </c>
      <c r="F50" s="247"/>
      <c r="G50" s="247"/>
      <c r="H50" s="1"/>
      <c r="I50" s="22"/>
      <c r="J50" s="22"/>
    </row>
    <row r="51" spans="3:10" ht="15.6">
      <c r="C51" s="22"/>
      <c r="D51" s="22"/>
      <c r="E51" s="255"/>
      <c r="F51" s="255"/>
      <c r="G51" s="255"/>
      <c r="H51" s="1"/>
      <c r="I51" s="22"/>
      <c r="J51" s="22"/>
    </row>
    <row r="52" spans="3:10" ht="15.6">
      <c r="C52" s="22"/>
      <c r="D52" s="22"/>
      <c r="E52" s="255"/>
      <c r="F52" s="255"/>
      <c r="G52" s="255"/>
      <c r="H52" s="1"/>
      <c r="I52" s="22"/>
      <c r="J52" s="22"/>
    </row>
    <row r="53" spans="3:10" ht="15.6">
      <c r="C53" s="22"/>
      <c r="D53" s="22"/>
      <c r="E53" s="255"/>
      <c r="F53" s="255"/>
      <c r="G53" s="255"/>
      <c r="H53" s="1"/>
      <c r="I53" s="22"/>
      <c r="J53" s="22"/>
    </row>
    <row r="54" spans="3:10">
      <c r="C54" s="22"/>
      <c r="D54" s="22"/>
      <c r="E54" s="22"/>
      <c r="F54" s="22"/>
      <c r="G54" s="22"/>
      <c r="H54" s="22"/>
      <c r="I54" s="22"/>
      <c r="J54" s="22"/>
    </row>
  </sheetData>
  <sheetProtection algorithmName="SHA-512" hashValue="w6cSc4m5lr3AGg5tuNMwBuWGH/ib29QRpKOb/j1WM6jmRhofUZuRMjntiTV9hZb12TioOPjF6IETYEUZHHR6xg==" saltValue="UbbzYcYgTuSAkZ2VAULJzw==" spinCount="100000" sheet="1" objects="1" scenarios="1"/>
  <mergeCells count="36">
    <mergeCell ref="E50:G50"/>
    <mergeCell ref="E51:G53"/>
    <mergeCell ref="D32:I39"/>
    <mergeCell ref="A18:B18"/>
    <mergeCell ref="A19:B19"/>
    <mergeCell ref="A20:B20"/>
    <mergeCell ref="A21:B21"/>
    <mergeCell ref="H25:I25"/>
    <mergeCell ref="D41:I43"/>
    <mergeCell ref="D45:I48"/>
    <mergeCell ref="H20:I20"/>
    <mergeCell ref="H21:I21"/>
    <mergeCell ref="H24:I24"/>
    <mergeCell ref="H23:I23"/>
    <mergeCell ref="A13:B13"/>
    <mergeCell ref="A14:B14"/>
    <mergeCell ref="A15:B15"/>
    <mergeCell ref="A16:B16"/>
    <mergeCell ref="A17:B17"/>
    <mergeCell ref="A6:B6"/>
    <mergeCell ref="A8:B8"/>
    <mergeCell ref="A10:B10"/>
    <mergeCell ref="A11:B11"/>
    <mergeCell ref="A12:B12"/>
    <mergeCell ref="E12:I12"/>
    <mergeCell ref="L4:N9"/>
    <mergeCell ref="L10:N10"/>
    <mergeCell ref="D6:I6"/>
    <mergeCell ref="D5:I5"/>
    <mergeCell ref="E9:I9"/>
    <mergeCell ref="E10:I10"/>
    <mergeCell ref="H14:I14"/>
    <mergeCell ref="H15:I15"/>
    <mergeCell ref="H17:I17"/>
    <mergeCell ref="H16:I16"/>
    <mergeCell ref="H19:I19"/>
  </mergeCells>
  <conditionalFormatting sqref="D10">
    <cfRule type="expression" dxfId="3" priority="2" stopIfTrue="1">
      <formula>$J$8&gt;0</formula>
    </cfRule>
  </conditionalFormatting>
  <conditionalFormatting sqref="D32">
    <cfRule type="containsBlanks" dxfId="2" priority="13" stopIfTrue="1">
      <formula>LEN(TRIM(D32))=0</formula>
    </cfRule>
  </conditionalFormatting>
  <conditionalFormatting sqref="E9 E12">
    <cfRule type="containsBlanks" dxfId="1" priority="12">
      <formula>LEN(TRIM(E9))=0</formula>
    </cfRule>
  </conditionalFormatting>
  <conditionalFormatting sqref="E10">
    <cfRule type="expression" dxfId="0" priority="1">
      <formula>$J$8&gt;0</formula>
    </cfRule>
  </conditionalFormatting>
  <dataValidations xWindow="1643" yWindow="696"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2" xr:uid="{EDBE74DD-17ED-498C-A412-ABD08074E9F9}"/>
    <dataValidation allowBlank="1" showInputMessage="1" showErrorMessage="1" promptTitle="Nombres y Apellidos" prompt="Diligencie los nombres y apellidos del jefe de control interno que esta reportando o quien haga sus veces" sqref="E12:I12"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10:N10" r:id="rId1" display="Acceder al manual" xr:uid="{FBCC514E-FE4B-40AE-9FED-7BBA3B34CEFA}"/>
  </hyperlinks>
  <pageMargins left="0.70866141732283472" right="0.70866141732283472" top="0.74803149606299213" bottom="0.74803149606299213" header="0.31496062992125984" footer="0.31496062992125984"/>
  <pageSetup scale="60" orientation="portrait" r:id="rId2"/>
  <drawing r:id="rId3"/>
  <extLst>
    <ext xmlns:x14="http://schemas.microsoft.com/office/spreadsheetml/2009/9/main" uri="{CCE6A557-97BC-4b89-ADB6-D9C93CAAB3DF}">
      <x14:dataValidations xmlns:xm="http://schemas.microsoft.com/office/excel/2006/main" xWindow="1643" yWindow="696" count="1">
        <x14:dataValidation type="list" allowBlank="1" showInputMessage="1" showErrorMessage="1" xr:uid="{36DB9E85-D6F1-485B-AA9E-F9CFF0E12ED5}">
          <x14:formula1>
            <xm:f>Administrador!$I$2:$I$338</xm:f>
          </x14:formula1>
          <xm:sqref>E9:I9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dimension ref="A1:O426"/>
  <sheetViews>
    <sheetView topLeftCell="I7" workbookViewId="0">
      <selection activeCell="I17" sqref="I16:I17"/>
    </sheetView>
  </sheetViews>
  <sheetFormatPr baseColWidth="10" defaultRowHeight="14.4"/>
  <cols>
    <col min="1" max="1" width="23.33203125" customWidth="1"/>
    <col min="2" max="2" width="29.88671875" bestFit="1" customWidth="1"/>
    <col min="3" max="3" width="11.88671875" bestFit="1" customWidth="1"/>
    <col min="9" max="9" width="125" customWidth="1"/>
  </cols>
  <sheetData>
    <row r="1" spans="1:15">
      <c r="A1" s="39" t="s">
        <v>1</v>
      </c>
      <c r="I1" s="39" t="s">
        <v>5</v>
      </c>
    </row>
    <row r="2" spans="1:15">
      <c r="A2" t="s">
        <v>472</v>
      </c>
      <c r="I2" t="s">
        <v>6</v>
      </c>
      <c r="J2">
        <v>0</v>
      </c>
      <c r="L2" s="2" t="s">
        <v>536</v>
      </c>
      <c r="M2" t="s">
        <v>579</v>
      </c>
      <c r="N2">
        <v>2024</v>
      </c>
      <c r="O2" s="78" t="s">
        <v>581</v>
      </c>
    </row>
    <row r="3" spans="1:15">
      <c r="A3" t="s">
        <v>473</v>
      </c>
      <c r="I3" t="s">
        <v>7</v>
      </c>
      <c r="J3">
        <v>0</v>
      </c>
      <c r="L3" s="2" t="s">
        <v>539</v>
      </c>
      <c r="M3" t="s">
        <v>580</v>
      </c>
      <c r="N3">
        <v>2025</v>
      </c>
      <c r="O3" s="78" t="s">
        <v>582</v>
      </c>
    </row>
    <row r="4" spans="1:15">
      <c r="A4" t="s">
        <v>474</v>
      </c>
      <c r="I4" t="s">
        <v>8</v>
      </c>
      <c r="J4">
        <v>0</v>
      </c>
      <c r="L4" s="2" t="s">
        <v>537</v>
      </c>
      <c r="M4" t="s">
        <v>579</v>
      </c>
      <c r="N4">
        <v>2025</v>
      </c>
      <c r="O4" s="78" t="s">
        <v>581</v>
      </c>
    </row>
    <row r="5" spans="1:15">
      <c r="I5" t="s">
        <v>9</v>
      </c>
      <c r="J5">
        <v>0</v>
      </c>
      <c r="L5" s="2" t="s">
        <v>540</v>
      </c>
      <c r="M5" t="s">
        <v>580</v>
      </c>
      <c r="N5">
        <v>2026</v>
      </c>
      <c r="O5" s="78" t="s">
        <v>582</v>
      </c>
    </row>
    <row r="6" spans="1:15">
      <c r="A6" t="s">
        <v>501</v>
      </c>
      <c r="B6">
        <f>COUNTIF(Usuarios!H12:I23,"SI")/COUNTA(Usuarios!H12:I23)*100</f>
        <v>100</v>
      </c>
      <c r="I6" t="s">
        <v>10</v>
      </c>
      <c r="J6">
        <v>0</v>
      </c>
      <c r="L6" s="2" t="s">
        <v>538</v>
      </c>
      <c r="M6" t="s">
        <v>579</v>
      </c>
      <c r="N6">
        <v>2026</v>
      </c>
      <c r="O6" s="78" t="s">
        <v>581</v>
      </c>
    </row>
    <row r="7" spans="1:15">
      <c r="I7" t="s">
        <v>11</v>
      </c>
      <c r="J7">
        <v>0</v>
      </c>
      <c r="L7" s="2"/>
      <c r="O7" s="78"/>
    </row>
    <row r="8" spans="1:15">
      <c r="I8" t="s">
        <v>12</v>
      </c>
      <c r="J8">
        <v>0</v>
      </c>
    </row>
    <row r="9" spans="1:15">
      <c r="I9" t="s">
        <v>13</v>
      </c>
      <c r="J9">
        <v>0</v>
      </c>
      <c r="L9" s="78">
        <v>40179</v>
      </c>
      <c r="M9">
        <v>0</v>
      </c>
    </row>
    <row r="10" spans="1:15">
      <c r="I10" t="s">
        <v>14</v>
      </c>
      <c r="J10">
        <v>0</v>
      </c>
      <c r="L10" s="78">
        <v>43831</v>
      </c>
      <c r="M10">
        <v>1</v>
      </c>
    </row>
    <row r="11" spans="1:15">
      <c r="I11" t="s">
        <v>15</v>
      </c>
      <c r="J11">
        <v>0</v>
      </c>
      <c r="L11" s="78">
        <v>45292</v>
      </c>
      <c r="M11">
        <v>2</v>
      </c>
    </row>
    <row r="12" spans="1:15">
      <c r="I12" t="s">
        <v>16</v>
      </c>
      <c r="J12">
        <v>0</v>
      </c>
      <c r="L12" s="78"/>
    </row>
    <row r="13" spans="1:15">
      <c r="I13" t="s">
        <v>17</v>
      </c>
      <c r="J13">
        <v>0</v>
      </c>
    </row>
    <row r="14" spans="1:15">
      <c r="I14" t="s">
        <v>18</v>
      </c>
      <c r="J14">
        <v>0</v>
      </c>
    </row>
    <row r="15" spans="1:15">
      <c r="A15" s="39" t="s">
        <v>507</v>
      </c>
      <c r="C15" s="39" t="s">
        <v>509</v>
      </c>
      <c r="D15" t="s">
        <v>510</v>
      </c>
      <c r="I15" t="s">
        <v>19</v>
      </c>
      <c r="J15">
        <v>0</v>
      </c>
      <c r="L15" s="78"/>
    </row>
    <row r="16" spans="1:15">
      <c r="A16" t="s">
        <v>508</v>
      </c>
      <c r="B16" t="str">
        <f>+Portada!I6</f>
        <v>II - 2024</v>
      </c>
      <c r="D16" t="s">
        <v>511</v>
      </c>
      <c r="I16" t="s">
        <v>20</v>
      </c>
      <c r="J16">
        <v>0</v>
      </c>
    </row>
    <row r="17" spans="1:10">
      <c r="B17" t="str">
        <f>+VLOOKUP(B16,$L$2:$N$6,2,0)</f>
        <v>SEGUNDO</v>
      </c>
      <c r="I17" t="s">
        <v>21</v>
      </c>
      <c r="J17">
        <v>0</v>
      </c>
    </row>
    <row r="18" spans="1:10">
      <c r="B18">
        <f>+VLOOKUP(B16,$L$2:$N$6,3,0)</f>
        <v>2024</v>
      </c>
      <c r="I18" t="s">
        <v>22</v>
      </c>
      <c r="J18">
        <v>0</v>
      </c>
    </row>
    <row r="19" spans="1:10">
      <c r="B19" s="79" t="str">
        <f>+VLOOKUP(B16,$L$2:$O$6,4,0)</f>
        <v xml:space="preserve">31 DE DICIEMBRE </v>
      </c>
      <c r="I19" t="s">
        <v>23</v>
      </c>
      <c r="J19">
        <v>0</v>
      </c>
    </row>
    <row r="20" spans="1:10">
      <c r="I20" t="s">
        <v>25</v>
      </c>
      <c r="J20">
        <v>0</v>
      </c>
    </row>
    <row r="21" spans="1:10">
      <c r="A21" s="39" t="s">
        <v>2</v>
      </c>
      <c r="I21" t="s">
        <v>26</v>
      </c>
      <c r="J21">
        <v>0</v>
      </c>
    </row>
    <row r="22" spans="1:10">
      <c r="A22" t="s">
        <v>500</v>
      </c>
      <c r="B22" t="b">
        <f>IF(OR(Abogados!E9&lt;&gt;"XX",Abogados!E9=""),TRUE,FALSE)</f>
        <v>1</v>
      </c>
      <c r="I22" t="s">
        <v>27</v>
      </c>
      <c r="J22">
        <v>0</v>
      </c>
    </row>
    <row r="23" spans="1:10">
      <c r="I23" t="s">
        <v>28</v>
      </c>
      <c r="J23">
        <v>0</v>
      </c>
    </row>
    <row r="24" spans="1:10">
      <c r="A24" s="39" t="s">
        <v>506</v>
      </c>
      <c r="I24" t="s">
        <v>29</v>
      </c>
      <c r="J24">
        <v>0</v>
      </c>
    </row>
    <row r="25" spans="1:10">
      <c r="A25" t="s">
        <v>500</v>
      </c>
      <c r="B25" t="str">
        <f>Usuarios!H16</f>
        <v>Si</v>
      </c>
      <c r="I25" t="s">
        <v>30</v>
      </c>
      <c r="J25">
        <v>0</v>
      </c>
    </row>
    <row r="26" spans="1:10">
      <c r="A26" s="247" t="s">
        <v>504</v>
      </c>
      <c r="B26" s="247"/>
      <c r="C26" s="247"/>
      <c r="I26" t="s">
        <v>31</v>
      </c>
      <c r="J26">
        <v>0</v>
      </c>
    </row>
    <row r="27" spans="1:10" ht="15.6">
      <c r="A27" s="260">
        <v>2024</v>
      </c>
      <c r="B27" s="260"/>
      <c r="C27" s="260"/>
      <c r="I27" t="s">
        <v>32</v>
      </c>
      <c r="J27">
        <v>0</v>
      </c>
    </row>
    <row r="28" spans="1:10">
      <c r="I28" t="s">
        <v>33</v>
      </c>
      <c r="J28">
        <v>0</v>
      </c>
    </row>
    <row r="29" spans="1:10">
      <c r="I29" t="s">
        <v>34</v>
      </c>
      <c r="J29">
        <v>0</v>
      </c>
    </row>
    <row r="30" spans="1:10">
      <c r="I30" t="s">
        <v>35</v>
      </c>
      <c r="J30">
        <v>0</v>
      </c>
    </row>
    <row r="31" spans="1:10">
      <c r="A31" s="39" t="s">
        <v>526</v>
      </c>
      <c r="C31" s="39" t="s">
        <v>509</v>
      </c>
      <c r="D31" t="s">
        <v>529</v>
      </c>
      <c r="I31" t="s">
        <v>36</v>
      </c>
      <c r="J31">
        <v>0</v>
      </c>
    </row>
    <row r="32" spans="1:10">
      <c r="A32" t="s">
        <v>528</v>
      </c>
      <c r="B32" t="str">
        <f>Pagos!M6</f>
        <v>NO</v>
      </c>
      <c r="D32" t="s">
        <v>527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544</v>
      </c>
      <c r="J337">
        <v>1</v>
      </c>
    </row>
    <row r="338" spans="9:10">
      <c r="I338" t="s">
        <v>431</v>
      </c>
      <c r="J338">
        <v>1</v>
      </c>
    </row>
    <row r="340" spans="9:10">
      <c r="I340" s="70" t="s">
        <v>115</v>
      </c>
      <c r="J340" s="70">
        <v>0</v>
      </c>
    </row>
    <row r="341" spans="9:10">
      <c r="I341" s="70" t="s">
        <v>116</v>
      </c>
      <c r="J341" s="70">
        <v>0</v>
      </c>
    </row>
    <row r="342" spans="9:10">
      <c r="I342" s="70" t="s">
        <v>117</v>
      </c>
      <c r="J342" s="70">
        <v>0</v>
      </c>
    </row>
    <row r="343" spans="9:10">
      <c r="I343" s="70" t="s">
        <v>118</v>
      </c>
      <c r="J343" s="70">
        <v>0</v>
      </c>
    </row>
    <row r="344" spans="9:10">
      <c r="I344" s="70" t="s">
        <v>119</v>
      </c>
      <c r="J344" s="70">
        <v>0</v>
      </c>
    </row>
    <row r="345" spans="9:10">
      <c r="I345" s="70" t="s">
        <v>120</v>
      </c>
      <c r="J345" s="70">
        <v>0</v>
      </c>
    </row>
    <row r="346" spans="9:10">
      <c r="I346" s="70" t="s">
        <v>121</v>
      </c>
      <c r="J346" s="70">
        <v>0</v>
      </c>
    </row>
    <row r="347" spans="9:10">
      <c r="I347" s="70" t="s">
        <v>122</v>
      </c>
      <c r="J347" s="70">
        <v>0</v>
      </c>
    </row>
    <row r="348" spans="9:10">
      <c r="I348" s="70" t="s">
        <v>123</v>
      </c>
      <c r="J348" s="70">
        <v>0</v>
      </c>
    </row>
    <row r="349" spans="9:10">
      <c r="I349" s="70" t="s">
        <v>124</v>
      </c>
      <c r="J349" s="70">
        <v>0</v>
      </c>
    </row>
    <row r="350" spans="9:10">
      <c r="I350" s="70" t="s">
        <v>125</v>
      </c>
      <c r="J350" s="70">
        <v>0</v>
      </c>
    </row>
    <row r="351" spans="9:10">
      <c r="I351" s="70" t="s">
        <v>126</v>
      </c>
      <c r="J351" s="70">
        <v>0</v>
      </c>
    </row>
    <row r="352" spans="9:10">
      <c r="I352" s="70" t="s">
        <v>127</v>
      </c>
      <c r="J352" s="70">
        <v>0</v>
      </c>
    </row>
    <row r="353" spans="9:10">
      <c r="I353" s="70" t="s">
        <v>128</v>
      </c>
      <c r="J353" s="70">
        <v>0</v>
      </c>
    </row>
    <row r="354" spans="9:10">
      <c r="I354" s="70" t="s">
        <v>129</v>
      </c>
      <c r="J354" s="70">
        <v>0</v>
      </c>
    </row>
    <row r="355" spans="9:10">
      <c r="I355" s="70" t="s">
        <v>130</v>
      </c>
      <c r="J355" s="70">
        <v>0</v>
      </c>
    </row>
    <row r="356" spans="9:10">
      <c r="I356" s="70" t="s">
        <v>131</v>
      </c>
      <c r="J356" s="70">
        <v>0</v>
      </c>
    </row>
    <row r="357" spans="9:10">
      <c r="I357" s="70" t="s">
        <v>132</v>
      </c>
      <c r="J357" s="70">
        <v>0</v>
      </c>
    </row>
    <row r="358" spans="9:10">
      <c r="I358" s="70" t="s">
        <v>133</v>
      </c>
      <c r="J358" s="70">
        <v>0</v>
      </c>
    </row>
    <row r="359" spans="9:10">
      <c r="I359" s="70" t="s">
        <v>134</v>
      </c>
      <c r="J359" s="70">
        <v>0</v>
      </c>
    </row>
    <row r="360" spans="9:10">
      <c r="I360" s="70" t="s">
        <v>135</v>
      </c>
      <c r="J360" s="70">
        <v>0</v>
      </c>
    </row>
    <row r="361" spans="9:10">
      <c r="I361" s="70" t="s">
        <v>136</v>
      </c>
      <c r="J361" s="70">
        <v>0</v>
      </c>
    </row>
    <row r="362" spans="9:10">
      <c r="I362" s="70" t="s">
        <v>137</v>
      </c>
      <c r="J362" s="70">
        <v>0</v>
      </c>
    </row>
    <row r="363" spans="9:10">
      <c r="I363" s="70" t="s">
        <v>138</v>
      </c>
      <c r="J363" s="70">
        <v>0</v>
      </c>
    </row>
    <row r="364" spans="9:10">
      <c r="I364" s="70" t="s">
        <v>139</v>
      </c>
      <c r="J364" s="70">
        <v>0</v>
      </c>
    </row>
    <row r="365" spans="9:10">
      <c r="I365" s="70" t="s">
        <v>140</v>
      </c>
      <c r="J365" s="70">
        <v>0</v>
      </c>
    </row>
    <row r="366" spans="9:10">
      <c r="I366" s="70" t="s">
        <v>141</v>
      </c>
      <c r="J366" s="70">
        <v>0</v>
      </c>
    </row>
    <row r="367" spans="9:10">
      <c r="I367" s="70" t="s">
        <v>142</v>
      </c>
      <c r="J367" s="70">
        <v>0</v>
      </c>
    </row>
    <row r="368" spans="9:10">
      <c r="I368" s="70" t="s">
        <v>143</v>
      </c>
      <c r="J368" s="70">
        <v>0</v>
      </c>
    </row>
    <row r="369" spans="9:10">
      <c r="I369" s="70" t="s">
        <v>144</v>
      </c>
      <c r="J369" s="70">
        <v>0</v>
      </c>
    </row>
    <row r="370" spans="9:10">
      <c r="I370" s="70" t="s">
        <v>145</v>
      </c>
      <c r="J370" s="70">
        <v>0</v>
      </c>
    </row>
    <row r="371" spans="9:10">
      <c r="I371" s="70" t="s">
        <v>146</v>
      </c>
      <c r="J371" s="70">
        <v>0</v>
      </c>
    </row>
    <row r="372" spans="9:10">
      <c r="I372" s="70" t="s">
        <v>147</v>
      </c>
      <c r="J372" s="70">
        <v>0</v>
      </c>
    </row>
    <row r="373" spans="9:10">
      <c r="I373" s="70" t="s">
        <v>148</v>
      </c>
      <c r="J373" s="70">
        <v>0</v>
      </c>
    </row>
    <row r="374" spans="9:10">
      <c r="I374" s="70" t="s">
        <v>149</v>
      </c>
      <c r="J374" s="70">
        <v>0</v>
      </c>
    </row>
    <row r="375" spans="9:10">
      <c r="I375" s="70" t="s">
        <v>150</v>
      </c>
      <c r="J375" s="70">
        <v>0</v>
      </c>
    </row>
    <row r="376" spans="9:10">
      <c r="I376" s="70" t="s">
        <v>151</v>
      </c>
      <c r="J376" s="70">
        <v>0</v>
      </c>
    </row>
    <row r="377" spans="9:10">
      <c r="I377" s="70" t="s">
        <v>152</v>
      </c>
      <c r="J377" s="70">
        <v>0</v>
      </c>
    </row>
    <row r="378" spans="9:10">
      <c r="I378" s="70" t="s">
        <v>153</v>
      </c>
      <c r="J378" s="70">
        <v>0</v>
      </c>
    </row>
    <row r="379" spans="9:10">
      <c r="I379" s="70" t="s">
        <v>157</v>
      </c>
      <c r="J379" s="70">
        <v>0</v>
      </c>
    </row>
    <row r="380" spans="9:10">
      <c r="I380" s="70" t="s">
        <v>158</v>
      </c>
      <c r="J380" s="70">
        <v>0</v>
      </c>
    </row>
    <row r="381" spans="9:10">
      <c r="I381" s="70" t="s">
        <v>159</v>
      </c>
      <c r="J381" s="70">
        <v>0</v>
      </c>
    </row>
    <row r="382" spans="9:10">
      <c r="I382" s="70" t="s">
        <v>160</v>
      </c>
      <c r="J382" s="70">
        <v>0</v>
      </c>
    </row>
    <row r="383" spans="9:10">
      <c r="I383" s="70" t="s">
        <v>161</v>
      </c>
      <c r="J383" s="70">
        <v>0</v>
      </c>
    </row>
    <row r="384" spans="9:10">
      <c r="I384" s="70" t="s">
        <v>162</v>
      </c>
      <c r="J384" s="70">
        <v>0</v>
      </c>
    </row>
    <row r="385" spans="9:10">
      <c r="I385" s="70" t="s">
        <v>163</v>
      </c>
      <c r="J385" s="70">
        <v>0</v>
      </c>
    </row>
    <row r="386" spans="9:10">
      <c r="I386" s="70" t="s">
        <v>164</v>
      </c>
      <c r="J386" s="70">
        <v>0</v>
      </c>
    </row>
    <row r="387" spans="9:10">
      <c r="I387" s="70" t="s">
        <v>165</v>
      </c>
      <c r="J387" s="70">
        <v>0</v>
      </c>
    </row>
    <row r="388" spans="9:10">
      <c r="I388" s="70" t="s">
        <v>166</v>
      </c>
      <c r="J388" s="70">
        <v>0</v>
      </c>
    </row>
    <row r="389" spans="9:10">
      <c r="I389" s="70" t="s">
        <v>167</v>
      </c>
      <c r="J389" s="70">
        <v>0</v>
      </c>
    </row>
    <row r="390" spans="9:10">
      <c r="I390" s="70" t="s">
        <v>168</v>
      </c>
      <c r="J390" s="70">
        <v>0</v>
      </c>
    </row>
    <row r="391" spans="9:10">
      <c r="I391" s="70" t="s">
        <v>169</v>
      </c>
      <c r="J391" s="70">
        <v>0</v>
      </c>
    </row>
    <row r="392" spans="9:10">
      <c r="I392" s="70" t="s">
        <v>170</v>
      </c>
      <c r="J392" s="70">
        <v>0</v>
      </c>
    </row>
    <row r="393" spans="9:10">
      <c r="I393" s="70" t="s">
        <v>171</v>
      </c>
      <c r="J393" s="70">
        <v>0</v>
      </c>
    </row>
    <row r="394" spans="9:10">
      <c r="I394" s="70" t="s">
        <v>172</v>
      </c>
      <c r="J394" s="70">
        <v>0</v>
      </c>
    </row>
    <row r="395" spans="9:10">
      <c r="I395" s="70" t="s">
        <v>173</v>
      </c>
      <c r="J395" s="70">
        <v>0</v>
      </c>
    </row>
    <row r="396" spans="9:10">
      <c r="I396" s="70" t="s">
        <v>174</v>
      </c>
      <c r="J396" s="70">
        <v>0</v>
      </c>
    </row>
    <row r="397" spans="9:10">
      <c r="I397" s="70" t="s">
        <v>175</v>
      </c>
      <c r="J397" s="70">
        <v>0</v>
      </c>
    </row>
    <row r="398" spans="9:10">
      <c r="I398" s="70" t="s">
        <v>176</v>
      </c>
      <c r="J398" s="70">
        <v>0</v>
      </c>
    </row>
    <row r="399" spans="9:10">
      <c r="I399" s="70" t="s">
        <v>177</v>
      </c>
      <c r="J399" s="70">
        <v>0</v>
      </c>
    </row>
    <row r="400" spans="9:10">
      <c r="I400" s="70" t="s">
        <v>178</v>
      </c>
      <c r="J400" s="70">
        <v>0</v>
      </c>
    </row>
    <row r="401" spans="9:10">
      <c r="I401" s="70" t="s">
        <v>336</v>
      </c>
      <c r="J401" s="70">
        <v>0</v>
      </c>
    </row>
    <row r="402" spans="9:10">
      <c r="I402" s="70" t="s">
        <v>337</v>
      </c>
      <c r="J402" s="70">
        <v>0</v>
      </c>
    </row>
    <row r="403" spans="9:10">
      <c r="I403" s="70" t="s">
        <v>338</v>
      </c>
      <c r="J403" s="70">
        <v>0</v>
      </c>
    </row>
    <row r="404" spans="9:10">
      <c r="I404" s="70" t="s">
        <v>339</v>
      </c>
      <c r="J404" s="70">
        <v>0</v>
      </c>
    </row>
    <row r="405" spans="9:10">
      <c r="I405" s="70" t="s">
        <v>340</v>
      </c>
      <c r="J405" s="70">
        <v>0</v>
      </c>
    </row>
    <row r="406" spans="9:10">
      <c r="I406" s="70" t="s">
        <v>341</v>
      </c>
      <c r="J406" s="70">
        <v>0</v>
      </c>
    </row>
    <row r="407" spans="9:10">
      <c r="I407" s="70" t="s">
        <v>342</v>
      </c>
      <c r="J407" s="70">
        <v>0</v>
      </c>
    </row>
    <row r="408" spans="9:10">
      <c r="I408" s="70" t="s">
        <v>343</v>
      </c>
      <c r="J408" s="70">
        <v>0</v>
      </c>
    </row>
    <row r="409" spans="9:10">
      <c r="I409" s="70" t="s">
        <v>344</v>
      </c>
      <c r="J409" s="70">
        <v>0</v>
      </c>
    </row>
    <row r="410" spans="9:10">
      <c r="I410" s="70" t="s">
        <v>345</v>
      </c>
      <c r="J410" s="70">
        <v>0</v>
      </c>
    </row>
    <row r="411" spans="9:10">
      <c r="I411" s="70" t="s">
        <v>346</v>
      </c>
      <c r="J411" s="70">
        <v>0</v>
      </c>
    </row>
    <row r="412" spans="9:10">
      <c r="I412" s="70" t="s">
        <v>347</v>
      </c>
      <c r="J412" s="70">
        <v>0</v>
      </c>
    </row>
    <row r="413" spans="9:10">
      <c r="I413" s="70" t="s">
        <v>348</v>
      </c>
      <c r="J413" s="70">
        <v>0</v>
      </c>
    </row>
    <row r="414" spans="9:10">
      <c r="I414" s="70" t="s">
        <v>349</v>
      </c>
      <c r="J414" s="70">
        <v>0</v>
      </c>
    </row>
    <row r="415" spans="9:10">
      <c r="I415" s="70" t="s">
        <v>350</v>
      </c>
      <c r="J415" s="70">
        <v>0</v>
      </c>
    </row>
    <row r="416" spans="9:10">
      <c r="I416" s="70" t="s">
        <v>351</v>
      </c>
      <c r="J416" s="70">
        <v>0</v>
      </c>
    </row>
    <row r="417" spans="9:10">
      <c r="I417" s="70" t="s">
        <v>352</v>
      </c>
      <c r="J417" s="70">
        <v>0</v>
      </c>
    </row>
    <row r="418" spans="9:10">
      <c r="I418" s="70" t="s">
        <v>353</v>
      </c>
      <c r="J418" s="70">
        <v>0</v>
      </c>
    </row>
    <row r="419" spans="9:10">
      <c r="I419" s="70" t="s">
        <v>354</v>
      </c>
      <c r="J419" s="70">
        <v>0</v>
      </c>
    </row>
    <row r="420" spans="9:10">
      <c r="I420" s="70" t="s">
        <v>355</v>
      </c>
      <c r="J420" s="70">
        <v>0</v>
      </c>
    </row>
    <row r="421" spans="9:10">
      <c r="I421" s="70" t="s">
        <v>356</v>
      </c>
      <c r="J421" s="70">
        <v>0</v>
      </c>
    </row>
    <row r="422" spans="9:10">
      <c r="I422" s="70" t="s">
        <v>357</v>
      </c>
      <c r="J422" s="70">
        <v>0</v>
      </c>
    </row>
    <row r="423" spans="9:10">
      <c r="I423" s="70" t="s">
        <v>358</v>
      </c>
      <c r="J423" s="70">
        <v>0</v>
      </c>
    </row>
    <row r="424" spans="9:10">
      <c r="I424" s="70" t="s">
        <v>359</v>
      </c>
      <c r="J424" s="70">
        <v>0</v>
      </c>
    </row>
    <row r="425" spans="9:10">
      <c r="I425" s="70" t="s">
        <v>360</v>
      </c>
      <c r="J425" s="70">
        <v>0</v>
      </c>
    </row>
    <row r="426" spans="9:10">
      <c r="I426" s="70" t="s">
        <v>361</v>
      </c>
      <c r="J426" s="70">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ColWidth="11.44140625" defaultRowHeight="14.4"/>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dimension ref="B2:W37"/>
  <sheetViews>
    <sheetView showRowColHeaders="0" topLeftCell="B1" zoomScaleNormal="100" workbookViewId="0">
      <selection activeCell="M14" sqref="M14:P15"/>
    </sheetView>
  </sheetViews>
  <sheetFormatPr baseColWidth="10" defaultColWidth="9.109375" defaultRowHeight="14.4"/>
  <cols>
    <col min="1" max="1" width="0" style="2" hidden="1" customWidth="1"/>
    <col min="2" max="3" width="16.33203125" style="4" customWidth="1"/>
    <col min="4" max="11" width="9.109375" style="2"/>
    <col min="12" max="12" width="12.44140625" style="2" customWidth="1"/>
    <col min="13" max="16384" width="9.109375" style="2"/>
  </cols>
  <sheetData>
    <row r="2" spans="2:23" ht="15" customHeight="1">
      <c r="B2" s="89"/>
      <c r="C2" s="89"/>
      <c r="E2" s="86" t="s">
        <v>1</v>
      </c>
      <c r="F2" s="86"/>
      <c r="G2" s="86"/>
      <c r="H2" s="86"/>
      <c r="I2" s="86"/>
      <c r="J2" s="86"/>
      <c r="K2" s="86"/>
      <c r="L2" s="86"/>
      <c r="M2" s="86"/>
      <c r="N2" s="86"/>
      <c r="O2" s="86"/>
      <c r="P2" s="86"/>
      <c r="Q2" s="86"/>
      <c r="R2" s="86"/>
      <c r="S2" s="86"/>
      <c r="T2" s="86"/>
      <c r="U2" s="86"/>
      <c r="V2" s="86"/>
      <c r="W2" s="86"/>
    </row>
    <row r="3" spans="2:23" ht="15" customHeight="1" thickBot="1">
      <c r="B3" s="89"/>
      <c r="C3" s="89"/>
      <c r="E3" s="87"/>
      <c r="F3" s="87"/>
      <c r="G3" s="87"/>
      <c r="H3" s="87"/>
      <c r="I3" s="87"/>
      <c r="J3" s="87"/>
      <c r="K3" s="87"/>
      <c r="L3" s="87"/>
      <c r="M3" s="87"/>
      <c r="N3" s="87"/>
      <c r="O3" s="87"/>
      <c r="P3" s="87"/>
      <c r="Q3" s="87"/>
      <c r="R3" s="87"/>
      <c r="S3" s="87"/>
      <c r="T3" s="87"/>
      <c r="U3" s="87"/>
      <c r="V3" s="87"/>
      <c r="W3" s="87"/>
    </row>
    <row r="4" spans="2:23">
      <c r="B4" s="89"/>
      <c r="C4" s="89"/>
    </row>
    <row r="5" spans="2:23" ht="15" customHeight="1">
      <c r="E5" s="122" t="s">
        <v>434</v>
      </c>
      <c r="F5" s="122"/>
      <c r="G5" s="122"/>
      <c r="H5" s="122"/>
      <c r="I5" s="122"/>
      <c r="J5" s="122"/>
      <c r="K5" s="122"/>
      <c r="L5" s="53"/>
      <c r="M5" s="6"/>
      <c r="N5" s="6"/>
      <c r="O5" s="6"/>
      <c r="P5" s="6"/>
      <c r="Q5" s="96" t="s">
        <v>435</v>
      </c>
      <c r="R5" s="96"/>
      <c r="S5" s="96"/>
      <c r="T5" s="6"/>
      <c r="U5" s="133" t="s">
        <v>485</v>
      </c>
      <c r="V5" s="134"/>
      <c r="W5" s="134"/>
    </row>
    <row r="6" spans="2:23" ht="15" customHeight="1">
      <c r="B6" s="85" t="s">
        <v>543</v>
      </c>
      <c r="C6" s="85"/>
      <c r="E6" s="122"/>
      <c r="F6" s="122"/>
      <c r="G6" s="122"/>
      <c r="H6" s="122"/>
      <c r="I6" s="122"/>
      <c r="J6" s="122"/>
      <c r="K6" s="122"/>
      <c r="L6" s="53"/>
      <c r="M6" s="6"/>
      <c r="N6" s="6"/>
      <c r="O6" s="6"/>
      <c r="P6" s="6"/>
      <c r="Q6" s="97">
        <v>45709</v>
      </c>
      <c r="R6" s="97"/>
      <c r="S6" s="97"/>
      <c r="T6" s="6"/>
      <c r="U6" s="134"/>
      <c r="V6" s="134"/>
      <c r="W6" s="134"/>
    </row>
    <row r="7" spans="2:23" ht="15">
      <c r="B7" s="3"/>
      <c r="C7" s="3"/>
      <c r="E7" s="53"/>
      <c r="F7" s="53"/>
      <c r="G7" s="53"/>
      <c r="H7" s="53"/>
      <c r="I7" s="53"/>
      <c r="J7" s="53"/>
      <c r="K7" s="53"/>
      <c r="L7" s="53"/>
      <c r="Q7" s="97"/>
      <c r="R7" s="97"/>
      <c r="S7" s="97"/>
      <c r="U7" s="134"/>
      <c r="V7" s="134"/>
      <c r="W7" s="134"/>
    </row>
    <row r="8" spans="2:23" ht="18.600000000000001">
      <c r="B8" s="85" t="s">
        <v>1</v>
      </c>
      <c r="C8" s="85"/>
      <c r="U8" s="134"/>
      <c r="V8" s="134"/>
      <c r="W8" s="134"/>
    </row>
    <row r="9" spans="2:23">
      <c r="B9" s="3"/>
      <c r="C9" s="3"/>
      <c r="E9" s="112" t="s">
        <v>436</v>
      </c>
      <c r="F9" s="112"/>
      <c r="G9" s="113"/>
      <c r="H9" s="125" t="s">
        <v>437</v>
      </c>
      <c r="I9" s="113"/>
      <c r="J9" s="112" t="s">
        <v>549</v>
      </c>
      <c r="K9" s="112"/>
      <c r="L9" s="113"/>
      <c r="M9" s="112" t="s">
        <v>438</v>
      </c>
      <c r="N9" s="112"/>
      <c r="O9" s="112"/>
      <c r="P9" s="126"/>
      <c r="Q9" s="127" t="s">
        <v>439</v>
      </c>
      <c r="R9" s="128"/>
      <c r="S9" s="128"/>
      <c r="U9" s="134"/>
      <c r="V9" s="134"/>
      <c r="W9" s="134"/>
    </row>
    <row r="10" spans="2:23" ht="15" customHeight="1">
      <c r="B10" s="85" t="s">
        <v>2</v>
      </c>
      <c r="C10" s="85"/>
      <c r="E10" s="112"/>
      <c r="F10" s="112"/>
      <c r="G10" s="113"/>
      <c r="H10" s="125"/>
      <c r="I10" s="113"/>
      <c r="J10" s="112"/>
      <c r="K10" s="112"/>
      <c r="L10" s="113"/>
      <c r="M10" s="112"/>
      <c r="N10" s="112"/>
      <c r="O10" s="112"/>
      <c r="P10" s="126"/>
      <c r="Q10" s="127"/>
      <c r="R10" s="128"/>
      <c r="S10" s="128"/>
      <c r="T10" s="7"/>
      <c r="U10" s="134"/>
      <c r="V10" s="134"/>
      <c r="W10" s="134"/>
    </row>
    <row r="11" spans="2:23" ht="18.600000000000001">
      <c r="B11" s="85"/>
      <c r="C11" s="85"/>
      <c r="T11" s="82"/>
      <c r="U11" s="40"/>
      <c r="V11" s="40"/>
      <c r="W11" s="40"/>
    </row>
    <row r="12" spans="2:23" ht="18.600000000000001">
      <c r="B12" s="85" t="s">
        <v>3</v>
      </c>
      <c r="C12" s="85"/>
      <c r="E12" s="114" t="s">
        <v>440</v>
      </c>
      <c r="F12" s="114"/>
      <c r="G12" s="115"/>
      <c r="H12" s="116" t="s">
        <v>472</v>
      </c>
      <c r="I12" s="117"/>
      <c r="J12" s="118">
        <v>43885</v>
      </c>
      <c r="K12" s="119"/>
      <c r="L12" s="120"/>
      <c r="M12" s="130" t="s">
        <v>655</v>
      </c>
      <c r="N12" s="131"/>
      <c r="O12" s="131"/>
      <c r="P12" s="132"/>
      <c r="Q12" s="129">
        <v>44733</v>
      </c>
      <c r="R12" s="119"/>
      <c r="S12" s="119"/>
      <c r="T12" s="83"/>
      <c r="U12" s="135" t="s">
        <v>486</v>
      </c>
      <c r="V12" s="135"/>
      <c r="W12" s="135"/>
    </row>
    <row r="13" spans="2:23" ht="18.600000000000001">
      <c r="B13" s="85"/>
      <c r="C13" s="85"/>
      <c r="E13" s="114"/>
      <c r="F13" s="114"/>
      <c r="G13" s="115"/>
      <c r="H13" s="116"/>
      <c r="I13" s="117"/>
      <c r="J13" s="121"/>
      <c r="K13" s="119"/>
      <c r="L13" s="120"/>
      <c r="M13" s="130"/>
      <c r="N13" s="131"/>
      <c r="O13" s="131"/>
      <c r="P13" s="132"/>
      <c r="Q13" s="119"/>
      <c r="R13" s="119"/>
      <c r="S13" s="119"/>
      <c r="T13" s="81">
        <f>IFERROR(LOOKUP(Q12,Administrador!$L$9:$L$11,Administrador!$M$9:$M$11),0)</f>
        <v>1</v>
      </c>
      <c r="U13" s="135"/>
      <c r="V13" s="135"/>
      <c r="W13" s="135"/>
    </row>
    <row r="14" spans="2:23" ht="18.600000000000001">
      <c r="B14" s="85" t="s">
        <v>4</v>
      </c>
      <c r="C14" s="85"/>
      <c r="E14" s="107" t="s">
        <v>441</v>
      </c>
      <c r="F14" s="107"/>
      <c r="G14" s="108"/>
      <c r="H14" s="102" t="s">
        <v>472</v>
      </c>
      <c r="I14" s="103"/>
      <c r="J14" s="98">
        <v>45512</v>
      </c>
      <c r="K14" s="99"/>
      <c r="L14" s="100"/>
      <c r="M14" s="104" t="s">
        <v>653</v>
      </c>
      <c r="N14" s="105"/>
      <c r="O14" s="105"/>
      <c r="P14" s="106"/>
      <c r="Q14" s="124">
        <v>45567</v>
      </c>
      <c r="R14" s="99"/>
      <c r="S14" s="99"/>
      <c r="T14" s="81"/>
      <c r="U14" s="40"/>
      <c r="V14" s="40"/>
      <c r="W14" s="40"/>
    </row>
    <row r="15" spans="2:23" ht="18.600000000000001">
      <c r="B15" s="85"/>
      <c r="C15" s="85"/>
      <c r="E15" s="107"/>
      <c r="F15" s="107"/>
      <c r="G15" s="108"/>
      <c r="H15" s="102"/>
      <c r="I15" s="103"/>
      <c r="J15" s="101"/>
      <c r="K15" s="99"/>
      <c r="L15" s="100"/>
      <c r="M15" s="104"/>
      <c r="N15" s="105"/>
      <c r="O15" s="105"/>
      <c r="P15" s="106"/>
      <c r="Q15" s="99"/>
      <c r="R15" s="99"/>
      <c r="S15" s="99"/>
      <c r="T15" s="81">
        <f>IFERROR(LOOKUP(Q14,Administrador!$L$9:$L$11,Administrador!$M$9:$M$11),0)</f>
        <v>2</v>
      </c>
    </row>
    <row r="16" spans="2:23" ht="18.600000000000001">
      <c r="B16" s="85" t="s">
        <v>523</v>
      </c>
      <c r="C16" s="85"/>
      <c r="E16" s="114" t="s">
        <v>442</v>
      </c>
      <c r="F16" s="114"/>
      <c r="G16" s="115"/>
      <c r="H16" s="116" t="s">
        <v>472</v>
      </c>
      <c r="I16" s="117"/>
      <c r="J16" s="118">
        <v>43887</v>
      </c>
      <c r="K16" s="119"/>
      <c r="L16" s="120"/>
      <c r="M16" s="130" t="s">
        <v>654</v>
      </c>
      <c r="N16" s="131"/>
      <c r="O16" s="131"/>
      <c r="P16" s="132"/>
      <c r="Q16" s="129">
        <v>44733</v>
      </c>
      <c r="R16" s="119"/>
      <c r="S16" s="119"/>
      <c r="T16" s="81"/>
      <c r="U16" s="109" t="s">
        <v>551</v>
      </c>
      <c r="V16" s="110"/>
      <c r="W16" s="110"/>
    </row>
    <row r="17" spans="2:23" ht="18.600000000000001">
      <c r="B17" s="85"/>
      <c r="C17" s="85"/>
      <c r="E17" s="114"/>
      <c r="F17" s="114"/>
      <c r="G17" s="115"/>
      <c r="H17" s="116"/>
      <c r="I17" s="117"/>
      <c r="J17" s="121"/>
      <c r="K17" s="119"/>
      <c r="L17" s="120"/>
      <c r="M17" s="130"/>
      <c r="N17" s="131"/>
      <c r="O17" s="131"/>
      <c r="P17" s="132"/>
      <c r="Q17" s="119"/>
      <c r="R17" s="119"/>
      <c r="S17" s="119"/>
      <c r="T17" s="81">
        <f>IFERROR(LOOKUP(Q16,Administrador!$L$9:$L$11,Administrador!$M$9:$M$11),0)</f>
        <v>1</v>
      </c>
      <c r="U17" s="110"/>
      <c r="V17" s="110"/>
      <c r="W17" s="110"/>
    </row>
    <row r="18" spans="2:23" ht="15" customHeight="1">
      <c r="B18" s="85" t="s">
        <v>432</v>
      </c>
      <c r="C18" s="85"/>
      <c r="E18" s="107" t="s">
        <v>443</v>
      </c>
      <c r="F18" s="107"/>
      <c r="G18" s="108"/>
      <c r="H18" s="102" t="s">
        <v>472</v>
      </c>
      <c r="I18" s="103"/>
      <c r="J18" s="98">
        <v>45348</v>
      </c>
      <c r="K18" s="99"/>
      <c r="L18" s="100"/>
      <c r="M18" s="104" t="s">
        <v>652</v>
      </c>
      <c r="N18" s="105"/>
      <c r="O18" s="105"/>
      <c r="P18" s="106"/>
      <c r="Q18" s="124">
        <v>45512</v>
      </c>
      <c r="R18" s="99"/>
      <c r="S18" s="99"/>
      <c r="T18" s="75"/>
      <c r="U18" s="110"/>
      <c r="V18" s="110"/>
      <c r="W18" s="110"/>
    </row>
    <row r="19" spans="2:23" ht="18.600000000000001">
      <c r="B19" s="85"/>
      <c r="C19" s="85"/>
      <c r="E19" s="107"/>
      <c r="F19" s="107"/>
      <c r="G19" s="108"/>
      <c r="H19" s="102"/>
      <c r="I19" s="103"/>
      <c r="J19" s="101"/>
      <c r="K19" s="99"/>
      <c r="L19" s="100"/>
      <c r="M19" s="104"/>
      <c r="N19" s="105"/>
      <c r="O19" s="105"/>
      <c r="P19" s="106"/>
      <c r="Q19" s="99"/>
      <c r="R19" s="99"/>
      <c r="S19" s="99"/>
      <c r="T19" s="81">
        <f>IFERROR(LOOKUP(Q18,Administrador!$L$9:$L$11,Administrador!$M$9:$M$11),0)</f>
        <v>2</v>
      </c>
      <c r="U19" s="110"/>
      <c r="V19" s="110"/>
      <c r="W19" s="110"/>
    </row>
    <row r="20" spans="2:23" ht="19.5" customHeight="1">
      <c r="B20" s="85" t="s">
        <v>433</v>
      </c>
      <c r="C20" s="85"/>
      <c r="E20" s="114" t="s">
        <v>548</v>
      </c>
      <c r="F20" s="114"/>
      <c r="G20" s="115"/>
      <c r="H20" s="116" t="s">
        <v>472</v>
      </c>
      <c r="I20" s="117"/>
      <c r="J20" s="118">
        <v>45176</v>
      </c>
      <c r="K20" s="119"/>
      <c r="L20" s="120"/>
      <c r="M20" s="130" t="s">
        <v>656</v>
      </c>
      <c r="N20" s="131"/>
      <c r="O20" s="131"/>
      <c r="P20" s="132"/>
      <c r="Q20" s="129">
        <v>45526</v>
      </c>
      <c r="R20" s="119"/>
      <c r="S20" s="119"/>
      <c r="T20" s="75"/>
      <c r="U20" s="110"/>
      <c r="V20" s="110"/>
      <c r="W20" s="110"/>
    </row>
    <row r="21" spans="2:23" ht="18.600000000000001">
      <c r="B21" s="85"/>
      <c r="C21" s="85"/>
      <c r="E21" s="114"/>
      <c r="F21" s="114"/>
      <c r="G21" s="115"/>
      <c r="H21" s="116"/>
      <c r="I21" s="117"/>
      <c r="J21" s="121"/>
      <c r="K21" s="119"/>
      <c r="L21" s="120"/>
      <c r="M21" s="130"/>
      <c r="N21" s="131"/>
      <c r="O21" s="131"/>
      <c r="P21" s="132"/>
      <c r="Q21" s="119"/>
      <c r="R21" s="119"/>
      <c r="S21" s="119"/>
      <c r="T21" s="81">
        <f>IFERROR(LOOKUP(Q20,Administrador!$L$9:$L$11,Administrador!$M$9:$M$11),0)</f>
        <v>2</v>
      </c>
      <c r="U21" s="110"/>
      <c r="V21" s="110"/>
      <c r="W21" s="110"/>
    </row>
    <row r="22" spans="2:23">
      <c r="E22" s="107" t="s">
        <v>444</v>
      </c>
      <c r="F22" s="107"/>
      <c r="G22" s="108"/>
      <c r="H22" s="102" t="s">
        <v>472</v>
      </c>
      <c r="I22" s="103"/>
      <c r="J22" s="98">
        <v>45428</v>
      </c>
      <c r="K22" s="99"/>
      <c r="L22" s="100"/>
      <c r="M22" s="104" t="s">
        <v>653</v>
      </c>
      <c r="N22" s="105"/>
      <c r="O22" s="105"/>
      <c r="P22" s="106"/>
      <c r="Q22" s="129">
        <v>45567</v>
      </c>
      <c r="R22" s="119"/>
      <c r="S22" s="119"/>
      <c r="T22" s="75"/>
      <c r="U22" s="110"/>
      <c r="V22" s="110"/>
      <c r="W22" s="110"/>
    </row>
    <row r="23" spans="2:23">
      <c r="E23" s="107"/>
      <c r="F23" s="107"/>
      <c r="G23" s="108"/>
      <c r="H23" s="102"/>
      <c r="I23" s="103"/>
      <c r="J23" s="101"/>
      <c r="K23" s="99"/>
      <c r="L23" s="100"/>
      <c r="M23" s="104"/>
      <c r="N23" s="105"/>
      <c r="O23" s="105"/>
      <c r="P23" s="106"/>
      <c r="Q23" s="119"/>
      <c r="R23" s="119"/>
      <c r="S23" s="119"/>
      <c r="T23" s="81">
        <f>IFERROR(LOOKUP(Q22,Administrador!$L$9:$L$11,Administrador!$M$9:$M$11),0)</f>
        <v>2</v>
      </c>
      <c r="U23" s="110"/>
      <c r="V23" s="110"/>
      <c r="W23" s="110"/>
    </row>
    <row r="24" spans="2:23">
      <c r="U24" s="110"/>
      <c r="V24" s="110"/>
      <c r="W24" s="110"/>
    </row>
    <row r="25" spans="2:23">
      <c r="U25" s="110"/>
      <c r="V25" s="110"/>
      <c r="W25" s="110"/>
    </row>
    <row r="26" spans="2:23">
      <c r="E26" s="112" t="s">
        <v>0</v>
      </c>
      <c r="F26" s="112"/>
      <c r="G26" s="112"/>
      <c r="U26" s="5"/>
      <c r="V26" s="5"/>
      <c r="W26" s="5"/>
    </row>
    <row r="27" spans="2:23">
      <c r="E27" s="112"/>
      <c r="F27" s="112"/>
      <c r="G27" s="112"/>
      <c r="U27" s="109" t="s">
        <v>550</v>
      </c>
      <c r="V27" s="109"/>
      <c r="W27" s="109"/>
    </row>
    <row r="28" spans="2:23">
      <c r="E28" s="123"/>
      <c r="F28" s="123"/>
      <c r="G28" s="123"/>
      <c r="H28" s="123"/>
      <c r="I28" s="123"/>
      <c r="J28" s="123"/>
      <c r="K28" s="123"/>
      <c r="L28" s="123"/>
      <c r="M28" s="123"/>
      <c r="N28" s="123"/>
      <c r="O28" s="123"/>
      <c r="P28" s="123"/>
      <c r="Q28" s="123"/>
      <c r="R28" s="123"/>
      <c r="S28" s="123"/>
      <c r="U28" s="111"/>
      <c r="V28" s="111"/>
      <c r="W28" s="111"/>
    </row>
    <row r="29" spans="2:23">
      <c r="E29" s="123"/>
      <c r="F29" s="123"/>
      <c r="G29" s="123"/>
      <c r="H29" s="123"/>
      <c r="I29" s="123"/>
      <c r="J29" s="123"/>
      <c r="K29" s="123"/>
      <c r="L29" s="123"/>
      <c r="M29" s="123"/>
      <c r="N29" s="123"/>
      <c r="O29" s="123"/>
      <c r="P29" s="123"/>
      <c r="Q29" s="123"/>
      <c r="R29" s="123"/>
      <c r="S29" s="123"/>
      <c r="U29" s="111"/>
      <c r="V29" s="111"/>
      <c r="W29" s="111"/>
    </row>
    <row r="30" spans="2:23">
      <c r="E30" s="123"/>
      <c r="F30" s="123"/>
      <c r="G30" s="123"/>
      <c r="H30" s="123"/>
      <c r="I30" s="123"/>
      <c r="J30" s="123"/>
      <c r="K30" s="123"/>
      <c r="L30" s="123"/>
      <c r="M30" s="123"/>
      <c r="N30" s="123"/>
      <c r="O30" s="123"/>
      <c r="P30" s="123"/>
      <c r="Q30" s="123"/>
      <c r="R30" s="123"/>
      <c r="S30" s="123"/>
      <c r="U30" s="111"/>
      <c r="V30" s="111"/>
      <c r="W30" s="111"/>
    </row>
    <row r="31" spans="2:23">
      <c r="E31" s="123"/>
      <c r="F31" s="123"/>
      <c r="G31" s="123"/>
      <c r="H31" s="123"/>
      <c r="I31" s="123"/>
      <c r="J31" s="123"/>
      <c r="K31" s="123"/>
      <c r="L31" s="123"/>
      <c r="M31" s="123"/>
      <c r="N31" s="123"/>
      <c r="O31" s="123"/>
      <c r="P31" s="123"/>
      <c r="Q31" s="123"/>
      <c r="R31" s="123"/>
      <c r="S31" s="123"/>
      <c r="U31" s="111"/>
      <c r="V31" s="111"/>
      <c r="W31" s="111"/>
    </row>
    <row r="32" spans="2:23">
      <c r="E32" s="123"/>
      <c r="F32" s="123"/>
      <c r="G32" s="123"/>
      <c r="H32" s="123"/>
      <c r="I32" s="123"/>
      <c r="J32" s="123"/>
      <c r="K32" s="123"/>
      <c r="L32" s="123"/>
      <c r="M32" s="123"/>
      <c r="N32" s="123"/>
      <c r="O32" s="123"/>
      <c r="P32" s="123"/>
      <c r="Q32" s="123"/>
      <c r="R32" s="123"/>
      <c r="S32" s="123"/>
    </row>
    <row r="33" spans="21:23" ht="15" customHeight="1">
      <c r="U33" s="136" t="s">
        <v>578</v>
      </c>
      <c r="V33" s="136"/>
      <c r="W33" s="136"/>
    </row>
    <row r="34" spans="21:23">
      <c r="U34" s="136"/>
      <c r="V34" s="136"/>
      <c r="W34" s="136"/>
    </row>
    <row r="35" spans="21:23">
      <c r="U35" s="136"/>
      <c r="V35" s="136"/>
      <c r="W35" s="136"/>
    </row>
    <row r="36" spans="21:23">
      <c r="U36" s="136"/>
      <c r="V36" s="136"/>
      <c r="W36" s="136"/>
    </row>
    <row r="37" spans="21:23">
      <c r="U37" s="136"/>
      <c r="V37" s="136"/>
      <c r="W37" s="136"/>
    </row>
  </sheetData>
  <sheetProtection algorithmName="SHA-512" hashValue="1+j7ihKBBNhaAbXLD7JZvdrsz+KEVG+9V76n7pMwhgS1O481b4OlbiAtVce9bbA6wLdsJkk/qCwcI7u6aMwC5g==" saltValue="YXZn2kSVB6udPgqy9B+tGQ==" spinCount="100000" sheet="1" objects="1" scenarios="1"/>
  <mergeCells count="61">
    <mergeCell ref="B21:C21"/>
    <mergeCell ref="U5:W10"/>
    <mergeCell ref="U12:W13"/>
    <mergeCell ref="U33:W37"/>
    <mergeCell ref="E26:G27"/>
    <mergeCell ref="E22:G23"/>
    <mergeCell ref="H22:I23"/>
    <mergeCell ref="J22:L23"/>
    <mergeCell ref="Q22:S23"/>
    <mergeCell ref="E20:G21"/>
    <mergeCell ref="H20:I21"/>
    <mergeCell ref="J20:L21"/>
    <mergeCell ref="M20:P21"/>
    <mergeCell ref="Q20:S21"/>
    <mergeCell ref="E16:G17"/>
    <mergeCell ref="H16:I17"/>
    <mergeCell ref="E28:S32"/>
    <mergeCell ref="Q18:S19"/>
    <mergeCell ref="H9:I10"/>
    <mergeCell ref="J9:L10"/>
    <mergeCell ref="M9:P10"/>
    <mergeCell ref="Q9:S10"/>
    <mergeCell ref="Q12:S13"/>
    <mergeCell ref="Q14:S15"/>
    <mergeCell ref="Q16:S17"/>
    <mergeCell ref="M16:P17"/>
    <mergeCell ref="J12:L13"/>
    <mergeCell ref="M12:P13"/>
    <mergeCell ref="M22:P23"/>
    <mergeCell ref="E18:G19"/>
    <mergeCell ref="H18:I19"/>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E5:K6"/>
    <mergeCell ref="Q5:S5"/>
    <mergeCell ref="Q6:S7"/>
    <mergeCell ref="J18:L19"/>
    <mergeCell ref="B20:C20"/>
    <mergeCell ref="H14:I15"/>
    <mergeCell ref="J14:L15"/>
    <mergeCell ref="M14:P15"/>
    <mergeCell ref="M18:P19"/>
    <mergeCell ref="E14:G15"/>
    <mergeCell ref="B11:C11"/>
    <mergeCell ref="B13:C13"/>
    <mergeCell ref="B15:C15"/>
    <mergeCell ref="B17:C17"/>
    <mergeCell ref="B19:C19"/>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S32"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dimension ref="B2:X42"/>
  <sheetViews>
    <sheetView showRowColHeaders="0" topLeftCell="C1" zoomScale="80" zoomScaleNormal="80" workbookViewId="0">
      <selection activeCell="Q6" sqref="Q6:S7"/>
    </sheetView>
  </sheetViews>
  <sheetFormatPr baseColWidth="10" defaultColWidth="11.44140625" defaultRowHeight="14.4"/>
  <cols>
    <col min="1" max="1" width="0" style="2" hidden="1" customWidth="1"/>
    <col min="2" max="3" width="16.33203125" style="4" customWidth="1"/>
    <col min="4" max="29" width="9.109375" style="2" customWidth="1"/>
    <col min="30" max="16384" width="11.44140625" style="2"/>
  </cols>
  <sheetData>
    <row r="2" spans="2:24">
      <c r="B2" s="89"/>
      <c r="C2" s="89"/>
      <c r="E2" s="86" t="s">
        <v>2</v>
      </c>
      <c r="F2" s="158"/>
      <c r="G2" s="158"/>
      <c r="H2" s="158"/>
      <c r="I2" s="158"/>
      <c r="J2" s="158"/>
      <c r="K2" s="158"/>
      <c r="L2" s="158"/>
      <c r="M2" s="158"/>
      <c r="N2" s="158"/>
      <c r="O2" s="158"/>
      <c r="P2" s="158"/>
      <c r="Q2" s="158"/>
      <c r="R2" s="158"/>
      <c r="S2" s="158"/>
      <c r="T2" s="158"/>
      <c r="U2" s="158"/>
      <c r="V2" s="158"/>
      <c r="W2" s="158"/>
    </row>
    <row r="3" spans="2:24" ht="15" thickBot="1">
      <c r="B3" s="89"/>
      <c r="C3" s="89"/>
      <c r="E3" s="159"/>
      <c r="F3" s="159"/>
      <c r="G3" s="159"/>
      <c r="H3" s="159"/>
      <c r="I3" s="159"/>
      <c r="J3" s="159"/>
      <c r="K3" s="159"/>
      <c r="L3" s="159"/>
      <c r="M3" s="159"/>
      <c r="N3" s="159"/>
      <c r="O3" s="159"/>
      <c r="P3" s="159"/>
      <c r="Q3" s="159"/>
      <c r="R3" s="159"/>
      <c r="S3" s="159"/>
      <c r="T3" s="159"/>
      <c r="U3" s="159"/>
      <c r="V3" s="159"/>
      <c r="W3" s="159"/>
    </row>
    <row r="4" spans="2:24">
      <c r="B4" s="89"/>
      <c r="C4" s="89"/>
    </row>
    <row r="5" spans="2:24" ht="15" customHeight="1">
      <c r="E5" s="160" t="s">
        <v>447</v>
      </c>
      <c r="F5" s="160"/>
      <c r="G5" s="160"/>
      <c r="H5" s="160"/>
      <c r="I5" s="160"/>
      <c r="J5" s="160"/>
      <c r="K5" s="160"/>
      <c r="L5" s="160"/>
      <c r="M5" s="160"/>
      <c r="N5" s="160"/>
      <c r="O5" s="160"/>
      <c r="P5" s="10"/>
      <c r="Q5" s="96" t="s">
        <v>435</v>
      </c>
      <c r="R5" s="96"/>
      <c r="S5" s="96"/>
      <c r="U5" s="133" t="s">
        <v>487</v>
      </c>
      <c r="V5" s="134"/>
      <c r="W5" s="134"/>
    </row>
    <row r="6" spans="2:24" ht="18.600000000000001">
      <c r="B6" s="85" t="s">
        <v>543</v>
      </c>
      <c r="C6" s="85"/>
      <c r="E6" s="160"/>
      <c r="F6" s="160"/>
      <c r="G6" s="160"/>
      <c r="H6" s="160"/>
      <c r="I6" s="160"/>
      <c r="J6" s="160"/>
      <c r="K6" s="160"/>
      <c r="L6" s="160"/>
      <c r="M6" s="160"/>
      <c r="N6" s="160"/>
      <c r="O6" s="160"/>
      <c r="P6" s="11"/>
      <c r="Q6" s="97">
        <v>45712</v>
      </c>
      <c r="R6" s="97"/>
      <c r="S6" s="97"/>
      <c r="U6" s="134"/>
      <c r="V6" s="134"/>
      <c r="W6" s="134"/>
    </row>
    <row r="7" spans="2:24" ht="15">
      <c r="B7" s="3"/>
      <c r="C7" s="3"/>
      <c r="P7" s="11"/>
      <c r="Q7" s="97"/>
      <c r="R7" s="97"/>
      <c r="S7" s="97"/>
      <c r="U7" s="134"/>
      <c r="V7" s="134"/>
      <c r="W7" s="134"/>
    </row>
    <row r="8" spans="2:24" ht="18.600000000000001">
      <c r="B8" s="85" t="s">
        <v>1</v>
      </c>
      <c r="C8" s="85"/>
      <c r="H8" s="12"/>
      <c r="I8" s="12"/>
      <c r="J8" s="12"/>
      <c r="K8" s="12"/>
      <c r="L8" s="12"/>
      <c r="M8" s="12"/>
      <c r="U8" s="134"/>
      <c r="V8" s="134"/>
      <c r="W8" s="134"/>
    </row>
    <row r="9" spans="2:24" ht="15" customHeight="1">
      <c r="B9" s="3"/>
      <c r="C9" s="3"/>
      <c r="E9" s="156">
        <v>2</v>
      </c>
      <c r="F9" s="156"/>
      <c r="G9" s="15"/>
      <c r="H9" s="156">
        <v>2</v>
      </c>
      <c r="I9" s="156"/>
      <c r="J9" s="15"/>
      <c r="K9" s="156">
        <v>1</v>
      </c>
      <c r="L9" s="156"/>
      <c r="M9" s="14"/>
      <c r="N9" s="156">
        <v>0</v>
      </c>
      <c r="O9" s="156"/>
      <c r="U9" s="134"/>
      <c r="V9" s="134"/>
      <c r="W9" s="134"/>
    </row>
    <row r="10" spans="2:24" ht="15" customHeight="1">
      <c r="B10" s="85" t="s">
        <v>2</v>
      </c>
      <c r="C10" s="85"/>
      <c r="E10" s="156"/>
      <c r="F10" s="156"/>
      <c r="G10" s="15"/>
      <c r="H10" s="156"/>
      <c r="I10" s="156"/>
      <c r="J10" s="15"/>
      <c r="K10" s="156"/>
      <c r="L10" s="156"/>
      <c r="M10" s="15"/>
      <c r="N10" s="156"/>
      <c r="O10" s="156"/>
      <c r="U10" s="134"/>
      <c r="V10" s="134"/>
      <c r="W10" s="134"/>
    </row>
    <row r="11" spans="2:24" ht="15" customHeight="1">
      <c r="B11" s="85"/>
      <c r="C11" s="85"/>
      <c r="E11" s="156"/>
      <c r="F11" s="156"/>
      <c r="G11" s="15"/>
      <c r="H11" s="156"/>
      <c r="I11" s="156"/>
      <c r="J11" s="15"/>
      <c r="K11" s="156"/>
      <c r="L11" s="156"/>
      <c r="M11" s="15"/>
      <c r="N11" s="156"/>
      <c r="O11" s="156"/>
      <c r="U11" s="40"/>
      <c r="V11" s="40"/>
      <c r="W11" s="40"/>
    </row>
    <row r="12" spans="2:24" ht="15" customHeight="1">
      <c r="B12" s="85" t="s">
        <v>3</v>
      </c>
      <c r="C12" s="85"/>
      <c r="E12" s="157" t="s">
        <v>446</v>
      </c>
      <c r="F12" s="157"/>
      <c r="G12" s="16"/>
      <c r="H12" s="157" t="s">
        <v>559</v>
      </c>
      <c r="I12" s="157"/>
      <c r="J12" s="16"/>
      <c r="K12" s="157" t="s">
        <v>558</v>
      </c>
      <c r="L12" s="157"/>
      <c r="M12" s="16"/>
      <c r="N12" s="157" t="s">
        <v>560</v>
      </c>
      <c r="O12" s="157"/>
      <c r="U12" s="135" t="s">
        <v>486</v>
      </c>
      <c r="V12" s="135"/>
      <c r="W12" s="135"/>
    </row>
    <row r="13" spans="2:24" ht="18.600000000000001">
      <c r="B13" s="85"/>
      <c r="C13" s="85"/>
      <c r="E13" s="157"/>
      <c r="F13" s="157"/>
      <c r="G13" s="16"/>
      <c r="H13" s="157"/>
      <c r="I13" s="157"/>
      <c r="J13" s="16"/>
      <c r="K13" s="157"/>
      <c r="L13" s="157"/>
      <c r="M13" s="16"/>
      <c r="N13" s="157"/>
      <c r="O13" s="157"/>
      <c r="U13" s="135"/>
      <c r="V13" s="135"/>
      <c r="W13" s="135"/>
    </row>
    <row r="14" spans="2:24" ht="18.600000000000001">
      <c r="B14" s="85" t="s">
        <v>4</v>
      </c>
      <c r="C14" s="85"/>
      <c r="E14" s="157"/>
      <c r="F14" s="157"/>
      <c r="H14" s="157"/>
      <c r="I14" s="157"/>
      <c r="K14" s="157"/>
      <c r="L14" s="157"/>
      <c r="N14" s="157"/>
      <c r="O14" s="157"/>
      <c r="U14" s="40"/>
      <c r="V14" s="40"/>
      <c r="W14" s="40"/>
    </row>
    <row r="15" spans="2:24" ht="18.600000000000001">
      <c r="B15" s="85"/>
      <c r="C15" s="85"/>
      <c r="H15" s="75">
        <f>+H9*25%</f>
        <v>0.5</v>
      </c>
      <c r="I15" s="75">
        <f>+IF(H9&lt;10,H9,IF(H15&lt;10,10,H15))</f>
        <v>2</v>
      </c>
    </row>
    <row r="16" spans="2:24" ht="15.75" customHeight="1" thickBot="1">
      <c r="B16" s="85" t="s">
        <v>523</v>
      </c>
      <c r="C16" s="85"/>
      <c r="U16" s="136" t="s">
        <v>557</v>
      </c>
      <c r="V16" s="136"/>
      <c r="W16" s="136"/>
      <c r="X16" s="136"/>
    </row>
    <row r="17" spans="2:24" ht="15" customHeight="1">
      <c r="B17" s="85"/>
      <c r="C17" s="85"/>
      <c r="E17" s="150" t="str">
        <f>"Seleccione una muestra de "&amp;I15&amp;" abogados activos y complete los siguientes datos:"</f>
        <v>Seleccione una muestra de 2 abogados activos y complete los siguientes datos:</v>
      </c>
      <c r="F17" s="151"/>
      <c r="G17" s="151"/>
      <c r="H17" s="151"/>
      <c r="I17" s="151"/>
      <c r="J17" s="152"/>
      <c r="M17" s="150" t="s">
        <v>552</v>
      </c>
      <c r="N17" s="151"/>
      <c r="O17" s="151"/>
      <c r="P17" s="151"/>
      <c r="Q17" s="151"/>
      <c r="R17" s="152"/>
      <c r="U17" s="136"/>
      <c r="V17" s="136"/>
      <c r="W17" s="136"/>
      <c r="X17" s="136"/>
    </row>
    <row r="18" spans="2:24" ht="18.600000000000001">
      <c r="B18" s="85" t="s">
        <v>432</v>
      </c>
      <c r="C18" s="85"/>
      <c r="E18" s="153"/>
      <c r="F18" s="154"/>
      <c r="G18" s="154"/>
      <c r="H18" s="154"/>
      <c r="I18" s="154"/>
      <c r="J18" s="155"/>
      <c r="M18" s="153"/>
      <c r="N18" s="154"/>
      <c r="O18" s="154"/>
      <c r="P18" s="154"/>
      <c r="Q18" s="154"/>
      <c r="R18" s="155"/>
      <c r="U18" s="136"/>
      <c r="V18" s="136"/>
      <c r="W18" s="136"/>
      <c r="X18" s="136"/>
    </row>
    <row r="19" spans="2:24" ht="18.600000000000001">
      <c r="B19" s="85"/>
      <c r="C19" s="85"/>
      <c r="E19" s="137" t="str">
        <f>"De la muestra de "&amp;I15&amp;", cuantos tienen el nombre correcto"</f>
        <v>De la muestra de 2, cuantos tienen el nombre correcto</v>
      </c>
      <c r="F19" s="136"/>
      <c r="G19" s="136"/>
      <c r="H19" s="136"/>
      <c r="I19" s="144">
        <v>2</v>
      </c>
      <c r="J19" s="145"/>
      <c r="M19" s="162" t="s">
        <v>588</v>
      </c>
      <c r="N19" s="163"/>
      <c r="O19" s="163"/>
      <c r="P19" s="163"/>
      <c r="Q19" s="144">
        <v>2</v>
      </c>
      <c r="R19" s="145"/>
      <c r="U19" s="136"/>
      <c r="V19" s="136"/>
      <c r="W19" s="136"/>
      <c r="X19" s="136"/>
    </row>
    <row r="20" spans="2:24" ht="18.600000000000001">
      <c r="B20" s="85" t="s">
        <v>433</v>
      </c>
      <c r="C20" s="85"/>
      <c r="E20" s="137"/>
      <c r="F20" s="136"/>
      <c r="G20" s="136"/>
      <c r="H20" s="136"/>
      <c r="I20" s="144"/>
      <c r="J20" s="145"/>
      <c r="M20" s="162"/>
      <c r="N20" s="163"/>
      <c r="O20" s="163"/>
      <c r="P20" s="163"/>
      <c r="Q20" s="144"/>
      <c r="R20" s="145"/>
      <c r="S20" s="81">
        <f>+Q19*2</f>
        <v>4</v>
      </c>
      <c r="U20" s="136"/>
      <c r="V20" s="136"/>
      <c r="W20" s="136"/>
      <c r="X20" s="136"/>
    </row>
    <row r="21" spans="2:24">
      <c r="E21" s="138" t="str">
        <f>"De la muestra de "&amp;I15&amp;", cuantos tienen el correo electrónico correcto"</f>
        <v>De la muestra de 2, cuantos tienen el correo electrónico correcto</v>
      </c>
      <c r="F21" s="139"/>
      <c r="G21" s="139"/>
      <c r="H21" s="139"/>
      <c r="I21" s="146">
        <v>2</v>
      </c>
      <c r="J21" s="147"/>
      <c r="M21" s="164" t="s">
        <v>553</v>
      </c>
      <c r="N21" s="165"/>
      <c r="O21" s="165"/>
      <c r="P21" s="165"/>
      <c r="Q21" s="146">
        <v>0</v>
      </c>
      <c r="R21" s="147"/>
      <c r="S21" s="75"/>
      <c r="U21" s="136"/>
      <c r="V21" s="136"/>
      <c r="W21" s="136"/>
      <c r="X21" s="136"/>
    </row>
    <row r="22" spans="2:24">
      <c r="E22" s="138"/>
      <c r="F22" s="139"/>
      <c r="G22" s="139"/>
      <c r="H22" s="139"/>
      <c r="I22" s="146"/>
      <c r="J22" s="147"/>
      <c r="M22" s="164"/>
      <c r="N22" s="165"/>
      <c r="O22" s="165"/>
      <c r="P22" s="165"/>
      <c r="Q22" s="146"/>
      <c r="R22" s="147"/>
      <c r="S22" s="81">
        <f>+Q21*1</f>
        <v>0</v>
      </c>
      <c r="U22" s="136"/>
      <c r="V22" s="136"/>
      <c r="W22" s="136"/>
      <c r="X22" s="136"/>
    </row>
    <row r="23" spans="2:24" ht="15" customHeight="1">
      <c r="E23" s="137" t="str">
        <f>"De la muestra de "&amp;I15&amp;", cuantos tienen la fecha de nacimiento correcta"</f>
        <v>De la muestra de 2, cuantos tienen la fecha de nacimiento correcta</v>
      </c>
      <c r="F23" s="136"/>
      <c r="G23" s="136"/>
      <c r="H23" s="136"/>
      <c r="I23" s="144">
        <v>2</v>
      </c>
      <c r="J23" s="145"/>
      <c r="M23" s="162" t="s">
        <v>556</v>
      </c>
      <c r="N23" s="163"/>
      <c r="O23" s="163"/>
      <c r="P23" s="163"/>
      <c r="Q23" s="144">
        <v>0</v>
      </c>
      <c r="R23" s="145"/>
      <c r="S23" s="75"/>
      <c r="U23" s="136"/>
      <c r="V23" s="136"/>
      <c r="W23" s="136"/>
      <c r="X23" s="136"/>
    </row>
    <row r="24" spans="2:24" ht="15" thickBot="1">
      <c r="E24" s="140"/>
      <c r="F24" s="141"/>
      <c r="G24" s="141"/>
      <c r="H24" s="141"/>
      <c r="I24" s="148"/>
      <c r="J24" s="149"/>
      <c r="M24" s="162"/>
      <c r="N24" s="163"/>
      <c r="O24" s="163"/>
      <c r="P24" s="163"/>
      <c r="Q24" s="144"/>
      <c r="R24" s="145"/>
      <c r="S24" s="81">
        <f>IFERROR(LOOKUP(P23,Administrador!$L$9:$L$11,Administrador!$M$9:$M$11),0)</f>
        <v>0</v>
      </c>
      <c r="U24" s="136"/>
      <c r="V24" s="136"/>
      <c r="W24" s="136"/>
      <c r="X24" s="136"/>
    </row>
    <row r="25" spans="2:24">
      <c r="M25" s="164" t="s">
        <v>554</v>
      </c>
      <c r="N25" s="165"/>
      <c r="O25" s="165"/>
      <c r="P25" s="165"/>
      <c r="Q25" s="146">
        <v>0</v>
      </c>
      <c r="R25" s="147"/>
      <c r="S25" s="75"/>
      <c r="U25" s="136"/>
      <c r="V25" s="136"/>
      <c r="W25" s="136"/>
      <c r="X25" s="136"/>
    </row>
    <row r="26" spans="2:24" ht="15" thickBot="1">
      <c r="M26" s="166"/>
      <c r="N26" s="167"/>
      <c r="O26" s="167"/>
      <c r="P26" s="167"/>
      <c r="Q26" s="168"/>
      <c r="R26" s="169"/>
      <c r="S26" s="81">
        <f>IFERROR(LOOKUP(P25,Administrador!$L$9:$L$11,Administrador!$M$9:$M$11),0)</f>
        <v>0</v>
      </c>
      <c r="U26" s="136"/>
      <c r="V26" s="136"/>
      <c r="W26" s="136"/>
      <c r="X26" s="136"/>
    </row>
    <row r="28" spans="2:24" ht="15" customHeight="1">
      <c r="U28" s="161" t="s">
        <v>555</v>
      </c>
      <c r="V28" s="161"/>
      <c r="W28" s="161"/>
      <c r="X28" s="161"/>
    </row>
    <row r="29" spans="2:24">
      <c r="E29" s="143" t="s">
        <v>0</v>
      </c>
      <c r="F29" s="143"/>
      <c r="U29" s="161"/>
      <c r="V29" s="161"/>
      <c r="W29" s="161"/>
      <c r="X29" s="161"/>
    </row>
    <row r="30" spans="2:24">
      <c r="E30" s="142" t="s">
        <v>657</v>
      </c>
      <c r="F30" s="142"/>
      <c r="G30" s="142"/>
      <c r="H30" s="142"/>
      <c r="I30" s="142"/>
      <c r="J30" s="142"/>
      <c r="K30" s="142"/>
      <c r="L30" s="142"/>
      <c r="M30" s="142"/>
      <c r="N30" s="142"/>
      <c r="O30" s="142"/>
      <c r="P30" s="142"/>
      <c r="Q30" s="142"/>
      <c r="R30" s="142"/>
      <c r="S30" s="142"/>
      <c r="U30" s="161"/>
      <c r="V30" s="161"/>
      <c r="W30" s="161"/>
      <c r="X30" s="161"/>
    </row>
    <row r="31" spans="2:24">
      <c r="E31" s="142"/>
      <c r="F31" s="142"/>
      <c r="G31" s="142"/>
      <c r="H31" s="142"/>
      <c r="I31" s="142"/>
      <c r="J31" s="142"/>
      <c r="K31" s="142"/>
      <c r="L31" s="142"/>
      <c r="M31" s="142"/>
      <c r="N31" s="142"/>
      <c r="O31" s="142"/>
      <c r="P31" s="142"/>
      <c r="Q31" s="142"/>
      <c r="R31" s="142"/>
      <c r="S31" s="142"/>
      <c r="U31" s="161"/>
      <c r="V31" s="161"/>
      <c r="W31" s="161"/>
      <c r="X31" s="161"/>
    </row>
    <row r="32" spans="2:24">
      <c r="E32" s="142"/>
      <c r="F32" s="142"/>
      <c r="G32" s="142"/>
      <c r="H32" s="142"/>
      <c r="I32" s="142"/>
      <c r="J32" s="142"/>
      <c r="K32" s="142"/>
      <c r="L32" s="142"/>
      <c r="M32" s="142"/>
      <c r="N32" s="142"/>
      <c r="O32" s="142"/>
      <c r="P32" s="142"/>
      <c r="Q32" s="142"/>
      <c r="R32" s="142"/>
      <c r="S32" s="142"/>
      <c r="U32" s="161"/>
      <c r="V32" s="161"/>
      <c r="W32" s="161"/>
      <c r="X32" s="161"/>
    </row>
    <row r="33" spans="5:24">
      <c r="E33" s="142"/>
      <c r="F33" s="142"/>
      <c r="G33" s="142"/>
      <c r="H33" s="142"/>
      <c r="I33" s="142"/>
      <c r="J33" s="142"/>
      <c r="K33" s="142"/>
      <c r="L33" s="142"/>
      <c r="M33" s="142"/>
      <c r="N33" s="142"/>
      <c r="O33" s="142"/>
      <c r="P33" s="142"/>
      <c r="Q33" s="142"/>
      <c r="R33" s="142"/>
      <c r="S33" s="142"/>
      <c r="U33" s="161"/>
      <c r="V33" s="161"/>
      <c r="W33" s="161"/>
      <c r="X33" s="161"/>
    </row>
    <row r="34" spans="5:24">
      <c r="U34" s="161"/>
      <c r="V34" s="161"/>
      <c r="W34" s="161"/>
      <c r="X34" s="161"/>
    </row>
    <row r="35" spans="5:24" ht="19.2">
      <c r="E35" s="12"/>
      <c r="F35" s="12"/>
      <c r="G35" s="12"/>
      <c r="H35" s="12"/>
      <c r="I35" s="55"/>
      <c r="U35" s="161"/>
      <c r="V35" s="161"/>
      <c r="W35" s="161"/>
      <c r="X35" s="161"/>
    </row>
    <row r="36" spans="5:24">
      <c r="E36" s="12"/>
      <c r="F36" s="12"/>
      <c r="G36" s="12"/>
      <c r="H36" s="12"/>
      <c r="U36" s="161"/>
      <c r="V36" s="161"/>
      <c r="W36" s="161"/>
      <c r="X36" s="161"/>
    </row>
    <row r="37" spans="5:24">
      <c r="U37" s="161"/>
      <c r="V37" s="161"/>
      <c r="W37" s="161"/>
      <c r="X37" s="161"/>
    </row>
    <row r="38" spans="5:24">
      <c r="U38" s="161"/>
      <c r="V38" s="161"/>
      <c r="W38" s="161"/>
      <c r="X38" s="161"/>
    </row>
    <row r="42" spans="5:24" ht="17.25" customHeight="1"/>
  </sheetData>
  <sheetProtection algorithmName="SHA-512" hashValue="Q9beNB3DuqUR+RMhsk50ORXOYgq98yUw7KIv2zgknYDoqmHGLGjlMdvMb4bBK3bdkkRQcWwCvYRIrlwpdBUtBw==" saltValue="W7Wdj7xHRvCP1WFJamARmw==" spinCount="100000" sheet="1"/>
  <mergeCells count="48">
    <mergeCell ref="U16:X26"/>
    <mergeCell ref="U28:X38"/>
    <mergeCell ref="M17:R18"/>
    <mergeCell ref="M19:P20"/>
    <mergeCell ref="M21:P22"/>
    <mergeCell ref="M23:P24"/>
    <mergeCell ref="M25:P26"/>
    <mergeCell ref="Q19:R20"/>
    <mergeCell ref="Q21:R22"/>
    <mergeCell ref="Q23:R24"/>
    <mergeCell ref="Q25:R26"/>
    <mergeCell ref="U5:W10"/>
    <mergeCell ref="U12:W13"/>
    <mergeCell ref="E2:W3"/>
    <mergeCell ref="E5:O6"/>
    <mergeCell ref="Q5:S5"/>
    <mergeCell ref="Q6:S7"/>
    <mergeCell ref="H12:I14"/>
    <mergeCell ref="K9:L11"/>
    <mergeCell ref="K12:L14"/>
    <mergeCell ref="N9:O11"/>
    <mergeCell ref="N12:O14"/>
    <mergeCell ref="E17:J18"/>
    <mergeCell ref="B2:C4"/>
    <mergeCell ref="B6:C6"/>
    <mergeCell ref="E9:F11"/>
    <mergeCell ref="B16:C16"/>
    <mergeCell ref="B18:C18"/>
    <mergeCell ref="E12:F14"/>
    <mergeCell ref="H9:I11"/>
    <mergeCell ref="B20:C20"/>
    <mergeCell ref="B8:C8"/>
    <mergeCell ref="B10:C10"/>
    <mergeCell ref="B12:C12"/>
    <mergeCell ref="B14:C14"/>
    <mergeCell ref="B11:C11"/>
    <mergeCell ref="B13:C13"/>
    <mergeCell ref="B15:C15"/>
    <mergeCell ref="B17:C17"/>
    <mergeCell ref="B19:C19"/>
    <mergeCell ref="E19:H20"/>
    <mergeCell ref="E21:H22"/>
    <mergeCell ref="E23:H24"/>
    <mergeCell ref="E30:S33"/>
    <mergeCell ref="E29:F29"/>
    <mergeCell ref="I19:J20"/>
    <mergeCell ref="I21:J22"/>
    <mergeCell ref="I23:J24"/>
  </mergeCells>
  <dataValidations xWindow="1324" yWindow="366"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I35" xr:uid="{2A9AF500-EFB1-4D89-A051-A260E8F9796B}">
      <formula1>$U$18:$U$20</formula1>
    </dataValidation>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E9:F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dimension ref="B2:Y38"/>
  <sheetViews>
    <sheetView topLeftCell="B1" zoomScaleNormal="100" workbookViewId="0">
      <selection activeCell="B10" sqref="B10:C10"/>
    </sheetView>
  </sheetViews>
  <sheetFormatPr baseColWidth="10" defaultColWidth="11.44140625" defaultRowHeight="14.4"/>
  <cols>
    <col min="1" max="1" width="0" style="2" hidden="1" customWidth="1"/>
    <col min="2" max="3" width="16.33203125" style="4" customWidth="1"/>
    <col min="4" max="10" width="9.109375" style="2" customWidth="1"/>
    <col min="11" max="11" width="12.88671875" style="2" customWidth="1"/>
    <col min="12" max="53" width="9.109375" style="2" customWidth="1"/>
    <col min="54" max="16384" width="11.44140625" style="2"/>
  </cols>
  <sheetData>
    <row r="2" spans="2:25">
      <c r="B2" s="89"/>
      <c r="C2" s="89"/>
      <c r="E2" s="86" t="s">
        <v>531</v>
      </c>
      <c r="F2" s="86"/>
      <c r="G2" s="86"/>
      <c r="H2" s="86"/>
      <c r="I2" s="86"/>
      <c r="J2" s="86"/>
      <c r="K2" s="86"/>
      <c r="L2" s="86"/>
      <c r="M2" s="86"/>
      <c r="N2" s="86"/>
      <c r="O2" s="86"/>
      <c r="P2" s="86"/>
      <c r="Q2" s="86"/>
      <c r="R2" s="86"/>
      <c r="S2" s="86"/>
      <c r="T2" s="86"/>
      <c r="U2" s="86"/>
      <c r="V2" s="86"/>
      <c r="W2" s="86"/>
      <c r="X2" s="86"/>
      <c r="Y2" s="86"/>
    </row>
    <row r="3" spans="2:25" ht="15" thickBot="1">
      <c r="B3" s="89"/>
      <c r="C3" s="89"/>
      <c r="E3" s="87"/>
      <c r="F3" s="87"/>
      <c r="G3" s="87"/>
      <c r="H3" s="87"/>
      <c r="I3" s="87"/>
      <c r="J3" s="87"/>
      <c r="K3" s="87"/>
      <c r="L3" s="87"/>
      <c r="M3" s="87"/>
      <c r="N3" s="87"/>
      <c r="O3" s="87"/>
      <c r="P3" s="87"/>
      <c r="Q3" s="87"/>
      <c r="R3" s="87"/>
      <c r="S3" s="87"/>
      <c r="T3" s="87"/>
      <c r="U3" s="87"/>
      <c r="V3" s="87"/>
      <c r="W3" s="87"/>
      <c r="X3" s="87"/>
      <c r="Y3" s="87"/>
    </row>
    <row r="4" spans="2:25">
      <c r="B4" s="89"/>
      <c r="C4" s="89"/>
    </row>
    <row r="5" spans="2:25">
      <c r="E5" s="160" t="s">
        <v>532</v>
      </c>
      <c r="F5" s="184"/>
      <c r="G5" s="184"/>
      <c r="H5" s="184"/>
      <c r="I5" s="184"/>
      <c r="J5" s="184"/>
      <c r="K5" s="184"/>
      <c r="L5" s="184"/>
      <c r="M5" s="184"/>
      <c r="N5" s="184"/>
      <c r="O5" s="184"/>
      <c r="P5" s="184"/>
      <c r="Q5" s="184"/>
      <c r="R5" s="184"/>
      <c r="S5" s="184"/>
    </row>
    <row r="6" spans="2:25">
      <c r="B6" s="181" t="s">
        <v>1</v>
      </c>
      <c r="C6" s="181"/>
      <c r="E6" s="184"/>
      <c r="F6" s="184"/>
      <c r="G6" s="184"/>
      <c r="H6" s="184"/>
      <c r="I6" s="184"/>
      <c r="J6" s="184"/>
      <c r="K6" s="184"/>
      <c r="L6" s="184"/>
      <c r="M6" s="184"/>
      <c r="N6" s="184"/>
      <c r="O6" s="184"/>
      <c r="P6" s="184"/>
      <c r="Q6" s="184"/>
      <c r="R6" s="184"/>
      <c r="S6" s="184"/>
    </row>
    <row r="7" spans="2:25">
      <c r="B7" s="3"/>
      <c r="C7" s="3"/>
      <c r="E7" s="185" t="str">
        <f>"Conciliaciones extrajudiciales activos al 31-12-"&amp;Administrador!A27</f>
        <v>Conciliaciones extrajudiciales activos al 31-12-2024</v>
      </c>
      <c r="F7" s="185"/>
      <c r="G7" s="185"/>
      <c r="H7" s="185"/>
      <c r="I7" s="185"/>
      <c r="J7" s="185"/>
      <c r="K7" s="186"/>
      <c r="L7" s="185" t="s">
        <v>512</v>
      </c>
    </row>
    <row r="8" spans="2:25" ht="15" customHeight="1">
      <c r="B8" s="182" t="s">
        <v>2</v>
      </c>
      <c r="C8" s="182"/>
      <c r="E8" s="185"/>
      <c r="F8" s="185"/>
      <c r="G8" s="185"/>
      <c r="H8" s="185"/>
      <c r="I8" s="185"/>
      <c r="J8" s="185"/>
      <c r="K8" s="186"/>
      <c r="L8" s="185"/>
      <c r="N8" s="157" t="str">
        <f>"Seleccione una muestra de "&amp;L11&amp;"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8" s="157"/>
      <c r="P8" s="157"/>
      <c r="Q8" s="157"/>
      <c r="R8" s="157"/>
      <c r="S8" s="157"/>
      <c r="T8" s="157"/>
      <c r="U8" s="157"/>
      <c r="V8" s="42"/>
    </row>
    <row r="9" spans="2:25">
      <c r="B9" s="56"/>
      <c r="C9" s="56"/>
      <c r="E9" s="174" t="s">
        <v>533</v>
      </c>
      <c r="F9" s="174"/>
      <c r="G9" s="174"/>
      <c r="H9" s="174"/>
      <c r="I9" s="174"/>
      <c r="J9" s="174"/>
      <c r="K9" s="175"/>
      <c r="L9" s="107"/>
      <c r="N9" s="157"/>
      <c r="O9" s="157"/>
      <c r="P9" s="157"/>
      <c r="Q9" s="157"/>
      <c r="R9" s="157"/>
      <c r="S9" s="157"/>
      <c r="T9" s="157"/>
      <c r="U9" s="157"/>
      <c r="V9" s="42"/>
    </row>
    <row r="10" spans="2:25">
      <c r="B10" s="183" t="s">
        <v>531</v>
      </c>
      <c r="C10" s="183"/>
      <c r="E10" s="174"/>
      <c r="F10" s="174"/>
      <c r="G10" s="174"/>
      <c r="H10" s="174"/>
      <c r="I10" s="174"/>
      <c r="J10" s="174"/>
      <c r="K10" s="175"/>
      <c r="L10" s="107"/>
      <c r="N10" s="157"/>
      <c r="O10" s="157"/>
      <c r="P10" s="157"/>
      <c r="Q10" s="157"/>
      <c r="R10" s="157"/>
      <c r="S10" s="157"/>
      <c r="T10" s="157"/>
      <c r="U10" s="157"/>
      <c r="V10" s="42"/>
      <c r="W10" s="133" t="s">
        <v>489</v>
      </c>
      <c r="X10" s="133"/>
      <c r="Y10" s="133"/>
    </row>
    <row r="11" spans="2:25" ht="15" customHeight="1">
      <c r="B11" s="67"/>
      <c r="C11" s="67"/>
      <c r="E11" s="172" t="s">
        <v>534</v>
      </c>
      <c r="F11" s="172"/>
      <c r="G11" s="172"/>
      <c r="H11" s="172"/>
      <c r="I11" s="172"/>
      <c r="J11" s="172"/>
      <c r="K11" s="173"/>
      <c r="L11" s="177"/>
      <c r="N11" s="65"/>
      <c r="O11" s="65"/>
      <c r="P11" s="65"/>
      <c r="Q11" s="65"/>
      <c r="R11" s="65"/>
      <c r="S11" s="65"/>
      <c r="T11" s="65"/>
      <c r="U11" s="65"/>
      <c r="W11" s="133"/>
      <c r="X11" s="133"/>
      <c r="Y11" s="133"/>
    </row>
    <row r="12" spans="2:25">
      <c r="B12" s="182" t="s">
        <v>523</v>
      </c>
      <c r="C12" s="182"/>
      <c r="E12" s="172"/>
      <c r="F12" s="172"/>
      <c r="G12" s="172"/>
      <c r="H12" s="172"/>
      <c r="I12" s="172"/>
      <c r="J12" s="172"/>
      <c r="K12" s="173"/>
      <c r="L12" s="177"/>
      <c r="N12" s="157" t="s">
        <v>521</v>
      </c>
      <c r="O12" s="157"/>
      <c r="P12" s="157"/>
      <c r="Q12" s="157"/>
      <c r="R12" s="157"/>
      <c r="S12" s="187"/>
      <c r="T12" s="157" t="s">
        <v>522</v>
      </c>
      <c r="U12" s="157"/>
      <c r="V12" s="17"/>
      <c r="W12" s="133"/>
      <c r="X12" s="133"/>
      <c r="Y12" s="133"/>
    </row>
    <row r="13" spans="2:25">
      <c r="B13" s="67"/>
      <c r="C13" s="67"/>
      <c r="E13" s="174" t="str">
        <f>"Registro durante"&amp;" "&amp;Administrador!B16&amp;" semestre de "&amp;Administrador!A27</f>
        <v>Registro durante II - 2024 semestre de 2024</v>
      </c>
      <c r="F13" s="174"/>
      <c r="G13" s="174"/>
      <c r="H13" s="174"/>
      <c r="I13" s="174"/>
      <c r="J13" s="174"/>
      <c r="K13" s="175"/>
      <c r="L13" s="107"/>
      <c r="N13" s="157"/>
      <c r="O13" s="157"/>
      <c r="P13" s="157"/>
      <c r="Q13" s="157"/>
      <c r="R13" s="157"/>
      <c r="S13" s="187"/>
      <c r="T13" s="157"/>
      <c r="U13" s="157"/>
      <c r="V13" s="17"/>
      <c r="W13" s="133"/>
      <c r="X13" s="133"/>
      <c r="Y13" s="133"/>
    </row>
    <row r="14" spans="2:25">
      <c r="B14" s="182" t="s">
        <v>3</v>
      </c>
      <c r="C14" s="182"/>
      <c r="E14" s="174"/>
      <c r="F14" s="174"/>
      <c r="G14" s="174"/>
      <c r="H14" s="174"/>
      <c r="I14" s="174"/>
      <c r="J14" s="174"/>
      <c r="K14" s="175"/>
      <c r="L14" s="107"/>
      <c r="N14" s="107" t="s">
        <v>458</v>
      </c>
      <c r="O14" s="107"/>
      <c r="P14" s="107"/>
      <c r="Q14" s="107"/>
      <c r="R14" s="107"/>
      <c r="S14" s="178"/>
      <c r="T14" s="107"/>
      <c r="U14" s="107"/>
      <c r="V14" s="17"/>
      <c r="W14" s="133"/>
      <c r="X14" s="133"/>
      <c r="Y14" s="133"/>
    </row>
    <row r="15" spans="2:25">
      <c r="B15" s="67"/>
      <c r="C15" s="67"/>
      <c r="E15" s="172" t="str">
        <f>IF(Administrador!B16="1er","Registro durante 2do semestre de "&amp;Administrador!A27-1,"Registro durante 1er semestre de "&amp;Administrador!A27)</f>
        <v>Registro durante 1er semestre de 2024</v>
      </c>
      <c r="F15" s="172"/>
      <c r="G15" s="172"/>
      <c r="H15" s="172"/>
      <c r="I15" s="172"/>
      <c r="J15" s="172"/>
      <c r="K15" s="173"/>
      <c r="L15" s="20"/>
      <c r="N15" s="107"/>
      <c r="O15" s="107"/>
      <c r="P15" s="107"/>
      <c r="Q15" s="107"/>
      <c r="R15" s="107"/>
      <c r="S15" s="178"/>
      <c r="T15" s="107"/>
      <c r="U15" s="107"/>
      <c r="V15" s="17"/>
      <c r="W15" s="133"/>
      <c r="X15" s="133"/>
      <c r="Y15" s="133"/>
    </row>
    <row r="16" spans="2:25">
      <c r="B16" s="182" t="s">
        <v>4</v>
      </c>
      <c r="C16" s="182"/>
      <c r="E16" s="172"/>
      <c r="F16" s="172"/>
      <c r="G16" s="172"/>
      <c r="H16" s="172"/>
      <c r="I16" s="172"/>
      <c r="J16" s="172"/>
      <c r="K16" s="173"/>
      <c r="L16" s="20"/>
      <c r="N16" s="179" t="s">
        <v>459</v>
      </c>
      <c r="O16" s="179"/>
      <c r="P16" s="179"/>
      <c r="Q16" s="179"/>
      <c r="R16" s="179"/>
      <c r="S16" s="180"/>
      <c r="T16" s="179"/>
      <c r="U16" s="179"/>
      <c r="W16" s="133"/>
      <c r="X16" s="133"/>
      <c r="Y16" s="133"/>
    </row>
    <row r="17" spans="2:25">
      <c r="B17" s="67"/>
      <c r="C17" s="67"/>
      <c r="E17" s="174" t="str">
        <f>IF(MID(E15,18,1)="1","Registro en 2do semestre de "&amp;RIGHT(E15,4)-1&amp;" y anteriores","Registro en 1er semestre de "&amp;RIGHT(E15,4))</f>
        <v>Registro en 2do semestre de 2023 y anteriores</v>
      </c>
      <c r="F17" s="174"/>
      <c r="G17" s="174"/>
      <c r="H17" s="174"/>
      <c r="I17" s="174"/>
      <c r="J17" s="174"/>
      <c r="K17" s="175"/>
      <c r="L17" s="107"/>
      <c r="N17" s="179"/>
      <c r="O17" s="179"/>
      <c r="P17" s="179"/>
      <c r="Q17" s="179"/>
      <c r="R17" s="179"/>
      <c r="S17" s="180"/>
      <c r="T17" s="179"/>
      <c r="U17" s="179"/>
      <c r="W17" s="40"/>
      <c r="X17" s="40"/>
      <c r="Y17" s="40"/>
    </row>
    <row r="18" spans="2:25">
      <c r="B18" s="182" t="s">
        <v>432</v>
      </c>
      <c r="C18" s="182"/>
      <c r="E18" s="174"/>
      <c r="F18" s="174"/>
      <c r="G18" s="174"/>
      <c r="H18" s="174"/>
      <c r="I18" s="174"/>
      <c r="J18" s="174"/>
      <c r="K18" s="175"/>
      <c r="L18" s="107"/>
      <c r="W18" s="170" t="s">
        <v>486</v>
      </c>
      <c r="X18" s="170"/>
      <c r="Y18" s="170"/>
    </row>
    <row r="19" spans="2:25">
      <c r="B19" s="67"/>
      <c r="C19" s="67"/>
      <c r="W19" s="170"/>
      <c r="X19" s="170"/>
      <c r="Y19" s="170"/>
    </row>
    <row r="20" spans="2:25">
      <c r="B20" s="182" t="s">
        <v>433</v>
      </c>
      <c r="C20" s="182"/>
      <c r="E20" s="185" t="str">
        <f>"Concialiaciones extrajudiciales terminadas 2do semestre "&amp;Administrador!A27</f>
        <v>Concialiaciones extrajudiciales terminadas 2do semestre 2024</v>
      </c>
      <c r="F20" s="185"/>
      <c r="G20" s="185"/>
      <c r="H20" s="185"/>
      <c r="I20" s="185"/>
      <c r="J20" s="185"/>
      <c r="K20" s="186"/>
      <c r="L20" s="188"/>
      <c r="W20" s="40"/>
      <c r="X20" s="40"/>
      <c r="Y20" s="40"/>
    </row>
    <row r="21" spans="2:25">
      <c r="E21" s="185"/>
      <c r="F21" s="185"/>
      <c r="G21" s="185"/>
      <c r="H21" s="185"/>
      <c r="I21" s="185"/>
      <c r="J21" s="185"/>
      <c r="K21" s="186"/>
      <c r="L21" s="188"/>
      <c r="W21" s="17"/>
    </row>
    <row r="22" spans="2:25">
      <c r="E22" s="174" t="str">
        <f>"Total conciliaciones extrajudiciales terminadas "&amp;Administrador!B16&amp;" semestre de "&amp;Administrador!A27&amp;" según jurídica"</f>
        <v>Total conciliaciones extrajudiciales terminadas II - 2024 semestre de 2024 según jurídica</v>
      </c>
      <c r="F22" s="174"/>
      <c r="G22" s="174"/>
      <c r="H22" s="174"/>
      <c r="I22" s="174"/>
      <c r="J22" s="174"/>
      <c r="K22" s="175"/>
      <c r="L22" s="107"/>
    </row>
    <row r="23" spans="2:25">
      <c r="E23" s="174"/>
      <c r="F23" s="174"/>
      <c r="G23" s="174"/>
      <c r="H23" s="174"/>
      <c r="I23" s="174"/>
      <c r="J23" s="174"/>
      <c r="K23" s="175"/>
      <c r="L23" s="107"/>
      <c r="N23" s="112" t="s">
        <v>0</v>
      </c>
      <c r="O23" s="112"/>
    </row>
    <row r="24" spans="2:25">
      <c r="E24" s="172" t="str">
        <f>"Terminado en eKogui última actuación "&amp;Administrador!B16&amp;" semestre de "&amp;Administrador!A27&amp;""</f>
        <v>Terminado en eKogui última actuación II - 2024 semestre de 2024</v>
      </c>
      <c r="F24" s="172"/>
      <c r="G24" s="172"/>
      <c r="H24" s="172"/>
      <c r="I24" s="172"/>
      <c r="J24" s="172"/>
      <c r="K24" s="173"/>
      <c r="L24" s="20"/>
      <c r="N24" s="112"/>
      <c r="O24" s="112"/>
    </row>
    <row r="25" spans="2:25">
      <c r="E25" s="172"/>
      <c r="F25" s="172"/>
      <c r="G25" s="172"/>
      <c r="H25" s="172"/>
      <c r="I25" s="172"/>
      <c r="J25" s="172"/>
      <c r="K25" s="173"/>
      <c r="L25" s="20"/>
      <c r="N25" s="176"/>
      <c r="O25" s="176"/>
      <c r="P25" s="176"/>
      <c r="Q25" s="176"/>
      <c r="R25" s="176"/>
      <c r="S25" s="176"/>
      <c r="T25" s="176"/>
      <c r="U25" s="176"/>
    </row>
    <row r="26" spans="2:25">
      <c r="N26" s="176"/>
      <c r="O26" s="176"/>
      <c r="P26" s="176"/>
      <c r="Q26" s="176"/>
      <c r="R26" s="176"/>
      <c r="S26" s="176"/>
      <c r="T26" s="176"/>
      <c r="U26" s="176"/>
    </row>
    <row r="27" spans="2:25">
      <c r="N27" s="176"/>
      <c r="O27" s="176"/>
      <c r="P27" s="176"/>
      <c r="Q27" s="176"/>
      <c r="R27" s="176"/>
      <c r="S27" s="176"/>
      <c r="T27" s="176"/>
      <c r="U27" s="176"/>
    </row>
    <row r="29" spans="2:25" ht="19.2">
      <c r="N29" s="171"/>
      <c r="O29" s="171"/>
      <c r="P29" s="171"/>
      <c r="Q29" s="171"/>
      <c r="R29" s="55"/>
    </row>
    <row r="38" spans="19:19">
      <c r="S38" s="13"/>
    </row>
  </sheetData>
  <mergeCells count="39">
    <mergeCell ref="T14:U15"/>
    <mergeCell ref="B16:C16"/>
    <mergeCell ref="B18:C18"/>
    <mergeCell ref="B20:C20"/>
    <mergeCell ref="E13:K14"/>
    <mergeCell ref="B14:C14"/>
    <mergeCell ref="E20:K21"/>
    <mergeCell ref="L20:L21"/>
    <mergeCell ref="E2:Y3"/>
    <mergeCell ref="E5:S6"/>
    <mergeCell ref="E9:K10"/>
    <mergeCell ref="L9:L10"/>
    <mergeCell ref="E11:K12"/>
    <mergeCell ref="N8:U10"/>
    <mergeCell ref="E7:K8"/>
    <mergeCell ref="L7:L8"/>
    <mergeCell ref="N12:S13"/>
    <mergeCell ref="T12:U13"/>
    <mergeCell ref="B2:C4"/>
    <mergeCell ref="B6:C6"/>
    <mergeCell ref="B8:C8"/>
    <mergeCell ref="B10:C10"/>
    <mergeCell ref="B12:C12"/>
    <mergeCell ref="W18:Y19"/>
    <mergeCell ref="W10:Y16"/>
    <mergeCell ref="N29:Q29"/>
    <mergeCell ref="N23:O24"/>
    <mergeCell ref="E24:K25"/>
    <mergeCell ref="E15:K16"/>
    <mergeCell ref="E17:K18"/>
    <mergeCell ref="L17:L18"/>
    <mergeCell ref="E22:K23"/>
    <mergeCell ref="L22:L23"/>
    <mergeCell ref="N25:U27"/>
    <mergeCell ref="L11:L12"/>
    <mergeCell ref="L13:L14"/>
    <mergeCell ref="N14:S15"/>
    <mergeCell ref="N16:S17"/>
    <mergeCell ref="T16:U17"/>
  </mergeCells>
  <dataValidations disablePrompts="1"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9" xr:uid="{5B8F35DF-42F4-4FAF-9B4A-887874784BA6}">
      <formula1>$U$7:$U$9</formula1>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dimension ref="B2:Y30"/>
  <sheetViews>
    <sheetView topLeftCell="C2" zoomScale="85" zoomScaleNormal="85" workbookViewId="0">
      <selection activeCell="E27" sqref="E27:M30"/>
    </sheetView>
  </sheetViews>
  <sheetFormatPr baseColWidth="10" defaultColWidth="11.44140625" defaultRowHeight="14.4"/>
  <cols>
    <col min="1" max="1" width="0" style="2" hidden="1" customWidth="1"/>
    <col min="2" max="3" width="16.33203125" style="4" customWidth="1"/>
    <col min="4" max="8" width="9.109375" style="2" customWidth="1"/>
    <col min="9" max="9" width="14.109375" style="2" customWidth="1"/>
    <col min="10" max="41" width="9.109375" style="2" customWidth="1"/>
    <col min="42" max="16384" width="11.44140625" style="2"/>
  </cols>
  <sheetData>
    <row r="2" spans="2:25">
      <c r="B2" s="89"/>
      <c r="C2" s="89"/>
      <c r="E2" s="86" t="s">
        <v>523</v>
      </c>
      <c r="F2" s="86"/>
      <c r="G2" s="86"/>
      <c r="H2" s="86"/>
      <c r="I2" s="86"/>
      <c r="J2" s="86"/>
      <c r="K2" s="86"/>
      <c r="L2" s="86"/>
      <c r="M2" s="86"/>
      <c r="N2" s="86"/>
      <c r="O2" s="86"/>
      <c r="P2" s="86"/>
      <c r="Q2" s="86"/>
      <c r="R2" s="86"/>
      <c r="S2" s="86"/>
      <c r="T2" s="86"/>
      <c r="U2" s="86"/>
      <c r="V2" s="86"/>
      <c r="W2" s="86"/>
      <c r="X2" s="86"/>
      <c r="Y2" s="86"/>
    </row>
    <row r="3" spans="2:25" ht="15" thickBot="1">
      <c r="B3" s="89"/>
      <c r="C3" s="89"/>
      <c r="E3" s="87"/>
      <c r="F3" s="87"/>
      <c r="G3" s="87"/>
      <c r="H3" s="87"/>
      <c r="I3" s="87"/>
      <c r="J3" s="87"/>
      <c r="K3" s="87"/>
      <c r="L3" s="87"/>
      <c r="M3" s="87"/>
      <c r="N3" s="87"/>
      <c r="O3" s="87"/>
      <c r="P3" s="87"/>
      <c r="Q3" s="87"/>
      <c r="R3" s="87"/>
      <c r="S3" s="87"/>
      <c r="T3" s="87"/>
      <c r="U3" s="87"/>
      <c r="V3" s="87"/>
      <c r="W3" s="87"/>
      <c r="X3" s="87"/>
      <c r="Y3" s="87"/>
    </row>
    <row r="4" spans="2:25">
      <c r="B4" s="89"/>
      <c r="C4" s="89"/>
    </row>
    <row r="5" spans="2:25" ht="14.25" customHeight="1">
      <c r="E5" s="204" t="s">
        <v>460</v>
      </c>
      <c r="F5" s="204"/>
      <c r="G5" s="204"/>
      <c r="H5" s="204"/>
      <c r="I5" s="204"/>
      <c r="J5" s="204"/>
      <c r="K5" s="204"/>
      <c r="L5" s="204"/>
      <c r="M5" s="204"/>
      <c r="N5" s="204"/>
      <c r="O5" s="6"/>
      <c r="P5" s="96" t="s">
        <v>435</v>
      </c>
      <c r="Q5" s="96"/>
      <c r="R5" s="96"/>
      <c r="S5" s="6"/>
      <c r="T5" s="6"/>
    </row>
    <row r="6" spans="2:25" ht="18.600000000000001">
      <c r="B6" s="85" t="s">
        <v>543</v>
      </c>
      <c r="C6" s="85"/>
      <c r="E6" s="204"/>
      <c r="F6" s="204"/>
      <c r="G6" s="204"/>
      <c r="H6" s="204"/>
      <c r="I6" s="204"/>
      <c r="J6" s="204"/>
      <c r="K6" s="204"/>
      <c r="L6" s="204"/>
      <c r="M6" s="204"/>
      <c r="N6" s="204"/>
      <c r="O6" s="6"/>
      <c r="P6" s="97">
        <v>45712</v>
      </c>
      <c r="Q6" s="97"/>
      <c r="R6" s="97"/>
      <c r="S6" s="6"/>
      <c r="T6" s="6"/>
    </row>
    <row r="7" spans="2:25" ht="14.7" customHeight="1" thickBot="1">
      <c r="B7" s="3"/>
      <c r="C7" s="3"/>
      <c r="P7" s="97"/>
      <c r="Q7" s="97"/>
      <c r="R7" s="97"/>
      <c r="T7" s="43"/>
      <c r="U7" s="43"/>
      <c r="V7" s="43"/>
    </row>
    <row r="8" spans="2:25" ht="18.600000000000001">
      <c r="B8" s="85" t="s">
        <v>1</v>
      </c>
      <c r="C8" s="85"/>
      <c r="E8" s="200" t="str">
        <f>"Su entidad gestionó sesiones del comité de conciliación a través del sistema eKOGUI en el semestre "&amp;Portada!I6</f>
        <v>Su entidad gestionó sesiones del comité de conciliación a través del sistema eKOGUI en el semestre II - 2024</v>
      </c>
      <c r="F8" s="200"/>
      <c r="G8" s="200"/>
      <c r="H8" s="200"/>
      <c r="I8" s="200"/>
      <c r="J8" s="200"/>
      <c r="K8" s="200"/>
      <c r="L8" s="200"/>
      <c r="M8" s="200"/>
      <c r="N8" s="190" t="s">
        <v>472</v>
      </c>
      <c r="Q8" s="18"/>
      <c r="T8" s="203" t="s">
        <v>491</v>
      </c>
      <c r="U8" s="203"/>
      <c r="V8" s="203"/>
    </row>
    <row r="9" spans="2:25" ht="15" thickBot="1">
      <c r="B9" s="3"/>
      <c r="C9" s="3"/>
      <c r="E9" s="200"/>
      <c r="F9" s="200"/>
      <c r="G9" s="200"/>
      <c r="H9" s="200"/>
      <c r="I9" s="200"/>
      <c r="J9" s="200"/>
      <c r="K9" s="200"/>
      <c r="L9" s="200"/>
      <c r="M9" s="200"/>
      <c r="N9" s="191"/>
      <c r="T9" s="203"/>
      <c r="U9" s="203"/>
      <c r="V9" s="203"/>
    </row>
    <row r="10" spans="2:25" ht="18.600000000000001">
      <c r="B10" s="85" t="s">
        <v>2</v>
      </c>
      <c r="C10" s="85"/>
      <c r="E10" s="201" t="s">
        <v>524</v>
      </c>
      <c r="F10" s="202"/>
      <c r="G10" s="202"/>
      <c r="H10" s="202"/>
      <c r="I10" s="202"/>
      <c r="J10" s="202"/>
      <c r="K10" s="202"/>
      <c r="L10" s="202"/>
      <c r="M10" s="202"/>
      <c r="N10" s="190" t="s">
        <v>472</v>
      </c>
      <c r="T10" s="203"/>
      <c r="U10" s="203"/>
      <c r="V10" s="203"/>
    </row>
    <row r="11" spans="2:25" ht="19.2" thickBot="1">
      <c r="B11" s="85"/>
      <c r="C11" s="85"/>
      <c r="E11" s="202"/>
      <c r="F11" s="202"/>
      <c r="G11" s="202"/>
      <c r="H11" s="202"/>
      <c r="I11" s="202"/>
      <c r="J11" s="202"/>
      <c r="K11" s="202"/>
      <c r="L11" s="202"/>
      <c r="M11" s="202"/>
      <c r="N11" s="191"/>
      <c r="T11" s="203"/>
      <c r="U11" s="203"/>
      <c r="V11" s="203"/>
    </row>
    <row r="12" spans="2:25" ht="18.600000000000001">
      <c r="B12" s="85" t="s">
        <v>3</v>
      </c>
      <c r="C12" s="85"/>
      <c r="T12" s="203"/>
      <c r="U12" s="203"/>
      <c r="V12" s="203"/>
    </row>
    <row r="13" spans="2:25" ht="18.600000000000001">
      <c r="B13" s="85"/>
      <c r="C13" s="85"/>
      <c r="E13" s="205" t="s">
        <v>570</v>
      </c>
      <c r="F13" s="205"/>
      <c r="G13" s="205"/>
      <c r="H13" s="205"/>
      <c r="I13" s="205"/>
      <c r="J13" s="205"/>
      <c r="K13" s="205"/>
      <c r="L13" s="205"/>
      <c r="M13" s="205"/>
      <c r="N13" s="205"/>
      <c r="O13" s="205"/>
      <c r="T13" s="203"/>
      <c r="U13" s="203"/>
      <c r="V13" s="203"/>
    </row>
    <row r="14" spans="2:25" ht="18.600000000000001">
      <c r="B14" s="85" t="s">
        <v>4</v>
      </c>
      <c r="C14" s="85"/>
      <c r="J14" s="198" t="s">
        <v>564</v>
      </c>
      <c r="K14" s="199"/>
      <c r="L14" s="198" t="s">
        <v>565</v>
      </c>
      <c r="M14" s="199"/>
      <c r="N14" s="198" t="s">
        <v>566</v>
      </c>
      <c r="O14" s="199"/>
      <c r="P14" s="74"/>
      <c r="T14" s="40"/>
      <c r="U14" s="40"/>
      <c r="V14" s="40"/>
    </row>
    <row r="15" spans="2:25" ht="18.600000000000001" customHeight="1">
      <c r="B15" s="85"/>
      <c r="C15" s="85"/>
      <c r="E15" s="1" t="s">
        <v>561</v>
      </c>
      <c r="F15" s="1"/>
      <c r="G15" s="1"/>
      <c r="H15" s="1"/>
      <c r="I15" s="1"/>
      <c r="J15" s="144"/>
      <c r="K15" s="192"/>
      <c r="L15" s="144"/>
      <c r="M15" s="192"/>
      <c r="N15" s="194">
        <f>+J15+L15</f>
        <v>0</v>
      </c>
      <c r="O15" s="195"/>
      <c r="P15" s="74"/>
      <c r="T15" s="135" t="s">
        <v>486</v>
      </c>
      <c r="U15" s="135"/>
      <c r="V15" s="135"/>
    </row>
    <row r="16" spans="2:25" ht="18.600000000000001" customHeight="1">
      <c r="B16" s="85" t="s">
        <v>523</v>
      </c>
      <c r="C16" s="85"/>
      <c r="E16" s="2" t="s">
        <v>562</v>
      </c>
      <c r="J16" s="146">
        <v>4</v>
      </c>
      <c r="K16" s="193"/>
      <c r="L16" s="146"/>
      <c r="M16" s="193"/>
      <c r="N16" s="196">
        <f>+J16+L16</f>
        <v>4</v>
      </c>
      <c r="O16" s="197"/>
      <c r="P16" s="74"/>
      <c r="T16" s="135"/>
      <c r="U16" s="135"/>
      <c r="V16" s="135"/>
    </row>
    <row r="17" spans="2:22" ht="19.8">
      <c r="B17" s="85"/>
      <c r="C17" s="85"/>
      <c r="E17" s="1" t="s">
        <v>563</v>
      </c>
      <c r="F17" s="1"/>
      <c r="G17" s="1"/>
      <c r="H17" s="1"/>
      <c r="I17" s="1"/>
      <c r="J17" s="144">
        <v>0</v>
      </c>
      <c r="K17" s="192"/>
      <c r="L17" s="144"/>
      <c r="M17" s="192"/>
      <c r="N17" s="194">
        <f>+J17+L17</f>
        <v>0</v>
      </c>
      <c r="O17" s="195"/>
      <c r="P17" s="74"/>
      <c r="S17" s="55"/>
      <c r="T17" s="40"/>
      <c r="U17" s="40"/>
      <c r="V17" s="40"/>
    </row>
    <row r="18" spans="2:22" ht="19.8">
      <c r="B18" s="85" t="s">
        <v>432</v>
      </c>
      <c r="C18" s="85"/>
      <c r="S18" s="55"/>
    </row>
    <row r="19" spans="2:22" ht="18.600000000000001">
      <c r="B19" s="85"/>
      <c r="C19" s="85"/>
      <c r="E19" s="76" t="s">
        <v>571</v>
      </c>
      <c r="F19" s="76"/>
      <c r="G19" s="76"/>
      <c r="H19" s="76"/>
      <c r="I19" s="76"/>
      <c r="J19" s="76"/>
      <c r="K19" s="76"/>
    </row>
    <row r="20" spans="2:22" ht="18.600000000000001">
      <c r="B20" s="85" t="s">
        <v>433</v>
      </c>
      <c r="C20" s="85"/>
      <c r="E20" s="1" t="s">
        <v>567</v>
      </c>
      <c r="F20" s="1"/>
      <c r="G20" s="1"/>
      <c r="H20" s="1"/>
      <c r="I20" s="1"/>
      <c r="J20" s="144">
        <v>0</v>
      </c>
      <c r="K20" s="192"/>
      <c r="L20" s="74"/>
    </row>
    <row r="21" spans="2:22" ht="18.600000000000001">
      <c r="B21" s="85"/>
      <c r="C21" s="85"/>
      <c r="E21" s="2" t="s">
        <v>568</v>
      </c>
      <c r="J21" s="146">
        <v>4</v>
      </c>
      <c r="K21" s="193"/>
      <c r="L21" s="74"/>
    </row>
    <row r="22" spans="2:22">
      <c r="E22" s="1" t="s">
        <v>569</v>
      </c>
      <c r="F22" s="1"/>
      <c r="G22" s="1"/>
      <c r="H22" s="1"/>
      <c r="I22" s="1"/>
      <c r="J22" s="144">
        <v>0</v>
      </c>
      <c r="K22" s="192"/>
      <c r="L22" s="74"/>
    </row>
    <row r="23" spans="2:22">
      <c r="O23" s="13"/>
    </row>
    <row r="24" spans="2:22">
      <c r="O24" s="13"/>
    </row>
    <row r="25" spans="2:22">
      <c r="E25" s="189" t="s">
        <v>0</v>
      </c>
      <c r="F25" s="189"/>
    </row>
    <row r="26" spans="2:22">
      <c r="E26" s="189"/>
      <c r="F26" s="189"/>
    </row>
    <row r="27" spans="2:22">
      <c r="E27" s="123" t="s">
        <v>658</v>
      </c>
      <c r="F27" s="142"/>
      <c r="G27" s="142"/>
      <c r="H27" s="142"/>
      <c r="I27" s="142"/>
      <c r="J27" s="142"/>
      <c r="K27" s="142"/>
      <c r="L27" s="142"/>
      <c r="M27" s="142"/>
    </row>
    <row r="28" spans="2:22">
      <c r="E28" s="142"/>
      <c r="F28" s="142"/>
      <c r="G28" s="142"/>
      <c r="H28" s="142"/>
      <c r="I28" s="142"/>
      <c r="J28" s="142"/>
      <c r="K28" s="142"/>
      <c r="L28" s="142"/>
      <c r="M28" s="142"/>
    </row>
    <row r="29" spans="2:22">
      <c r="E29" s="142"/>
      <c r="F29" s="142"/>
      <c r="G29" s="142"/>
      <c r="H29" s="142"/>
      <c r="I29" s="142"/>
      <c r="J29" s="142"/>
      <c r="K29" s="142"/>
      <c r="L29" s="142"/>
      <c r="M29" s="142"/>
    </row>
    <row r="30" spans="2:22">
      <c r="E30" s="142"/>
      <c r="F30" s="142"/>
      <c r="G30" s="142"/>
      <c r="H30" s="142"/>
      <c r="I30" s="142"/>
      <c r="J30" s="142"/>
      <c r="K30" s="142"/>
      <c r="L30" s="142"/>
      <c r="M30" s="142"/>
    </row>
  </sheetData>
  <sheetProtection algorithmName="SHA-512" hashValue="7IsxcvTeFJHLE3w7XMgv29wacEh+hpiADrEk5YV68HP/M7hwizqmWYbSYhNLutDYO4rW+kNsgQHoHAr2tTKCUA==" saltValue="UJ7in8V3/dz6imwgk2afyQ==" spinCount="100000" sheet="1" objects="1" scenarios="1"/>
  <mergeCells count="43">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2:Y3"/>
    <mergeCell ref="E8:M9"/>
    <mergeCell ref="E10:M11"/>
    <mergeCell ref="T8:V13"/>
    <mergeCell ref="E5:N6"/>
    <mergeCell ref="P5:R5"/>
    <mergeCell ref="P6:R7"/>
    <mergeCell ref="E13:O13"/>
    <mergeCell ref="T15:V16"/>
    <mergeCell ref="J14:K14"/>
    <mergeCell ref="L14:M14"/>
    <mergeCell ref="N14:O14"/>
    <mergeCell ref="J22:K22"/>
    <mergeCell ref="E25:F26"/>
    <mergeCell ref="N8:N9"/>
    <mergeCell ref="N10:N11"/>
    <mergeCell ref="E27:M30"/>
    <mergeCell ref="J20:K20"/>
    <mergeCell ref="J17:K17"/>
    <mergeCell ref="L16:M16"/>
    <mergeCell ref="J16:K16"/>
    <mergeCell ref="J15:K15"/>
    <mergeCell ref="L15:M15"/>
    <mergeCell ref="L17:M17"/>
    <mergeCell ref="N15:O15"/>
    <mergeCell ref="N16:O16"/>
    <mergeCell ref="N17:O17"/>
    <mergeCell ref="J21:K21"/>
  </mergeCells>
  <dataValidations count="2">
    <dataValidation type="date" allowBlank="1" showInputMessage="1" showErrorMessage="1" promptTitle="Generación del reporte" prompt="Diligenciar la fecha de diligenciamiento de esta hoja en formato  (DD/MM/AAAA)" sqref="P6:R7"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5:V16"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dimension ref="A2:Z53"/>
  <sheetViews>
    <sheetView showRowColHeaders="0" topLeftCell="B11" zoomScale="70" zoomScaleNormal="70" workbookViewId="0">
      <selection activeCell="N45" sqref="N45:U48"/>
    </sheetView>
  </sheetViews>
  <sheetFormatPr baseColWidth="10" defaultColWidth="11.44140625" defaultRowHeight="14.4"/>
  <cols>
    <col min="1" max="1" width="0" style="2" hidden="1" customWidth="1"/>
    <col min="2" max="3" width="16.33203125" style="4" customWidth="1"/>
    <col min="4" max="55" width="9.109375" style="2" customWidth="1"/>
    <col min="56" max="16384" width="11.44140625" style="2"/>
  </cols>
  <sheetData>
    <row r="2" spans="1:25">
      <c r="B2" s="89"/>
      <c r="C2" s="89"/>
    </row>
    <row r="3" spans="1:25" ht="15" customHeight="1">
      <c r="B3" s="89"/>
      <c r="C3" s="89"/>
      <c r="E3" s="86" t="s">
        <v>3</v>
      </c>
      <c r="F3" s="86"/>
      <c r="G3" s="86"/>
      <c r="H3" s="86"/>
      <c r="I3" s="86"/>
      <c r="J3" s="86"/>
      <c r="K3" s="86"/>
      <c r="L3" s="86"/>
      <c r="M3" s="86"/>
      <c r="N3" s="86"/>
      <c r="O3" s="86"/>
      <c r="P3" s="86"/>
      <c r="Q3" s="86"/>
      <c r="R3" s="86"/>
      <c r="S3" s="86"/>
      <c r="T3" s="86"/>
      <c r="U3" s="86"/>
      <c r="V3" s="86"/>
      <c r="W3" s="86"/>
      <c r="X3" s="86"/>
      <c r="Y3" s="86"/>
    </row>
    <row r="4" spans="1:25" ht="15.75" customHeight="1" thickBot="1">
      <c r="B4" s="89"/>
      <c r="C4" s="89"/>
      <c r="E4" s="87"/>
      <c r="F4" s="87"/>
      <c r="G4" s="87"/>
      <c r="H4" s="87"/>
      <c r="I4" s="87"/>
      <c r="J4" s="87"/>
      <c r="K4" s="87"/>
      <c r="L4" s="87"/>
      <c r="M4" s="87"/>
      <c r="N4" s="87"/>
      <c r="O4" s="87"/>
      <c r="P4" s="87"/>
      <c r="Q4" s="87"/>
      <c r="R4" s="87"/>
      <c r="S4" s="87"/>
      <c r="T4" s="87"/>
      <c r="U4" s="87"/>
      <c r="V4" s="87"/>
      <c r="W4" s="87"/>
      <c r="X4" s="87"/>
      <c r="Y4" s="87"/>
    </row>
    <row r="6" spans="1:25" ht="18.600000000000001">
      <c r="A6" s="13"/>
      <c r="B6" s="85" t="s">
        <v>543</v>
      </c>
      <c r="C6" s="85"/>
      <c r="E6" s="160" t="s">
        <v>434</v>
      </c>
      <c r="F6" s="160"/>
      <c r="G6" s="160"/>
      <c r="H6" s="160"/>
      <c r="I6" s="160"/>
      <c r="J6" s="160"/>
      <c r="K6" s="160"/>
      <c r="L6" s="160"/>
      <c r="M6" s="160"/>
      <c r="N6" s="160"/>
      <c r="O6" s="160"/>
      <c r="P6" s="10"/>
      <c r="Q6" s="50"/>
      <c r="R6" s="50"/>
      <c r="S6" s="240" t="s">
        <v>435</v>
      </c>
      <c r="T6" s="240"/>
      <c r="U6" s="240"/>
      <c r="V6" s="18"/>
      <c r="W6" s="133" t="s">
        <v>488</v>
      </c>
      <c r="X6" s="134"/>
      <c r="Y6" s="134"/>
    </row>
    <row r="7" spans="1:25" ht="15">
      <c r="B7" s="3"/>
      <c r="C7" s="3"/>
      <c r="E7" s="160"/>
      <c r="F7" s="160"/>
      <c r="G7" s="160"/>
      <c r="H7" s="160"/>
      <c r="I7" s="160"/>
      <c r="J7" s="160"/>
      <c r="K7" s="160"/>
      <c r="L7" s="160"/>
      <c r="M7" s="160"/>
      <c r="N7" s="160"/>
      <c r="O7" s="160"/>
      <c r="P7" s="11"/>
      <c r="Q7" s="51"/>
      <c r="R7" s="51"/>
      <c r="S7" s="97">
        <v>45709</v>
      </c>
      <c r="T7" s="97"/>
      <c r="U7" s="97"/>
      <c r="V7" s="18"/>
      <c r="W7" s="134"/>
      <c r="X7" s="134"/>
      <c r="Y7" s="134"/>
    </row>
    <row r="8" spans="1:25" ht="18.600000000000001">
      <c r="B8" s="85" t="s">
        <v>1</v>
      </c>
      <c r="C8" s="85"/>
      <c r="P8" s="11"/>
      <c r="Q8" s="51"/>
      <c r="R8" s="51"/>
      <c r="S8" s="97"/>
      <c r="T8" s="97"/>
      <c r="U8" s="97"/>
      <c r="V8" s="18"/>
      <c r="W8" s="134"/>
      <c r="X8" s="134"/>
      <c r="Y8" s="134"/>
    </row>
    <row r="9" spans="1:25" ht="15">
      <c r="B9" s="3"/>
      <c r="C9" s="3"/>
      <c r="E9" s="185" t="str">
        <f>"Procesos activos al "&amp;Administrador!B19&amp;" DE "&amp;Administrador!B18</f>
        <v>Procesos activos al 31 DE DICIEMBRE  DE 2024</v>
      </c>
      <c r="F9" s="185"/>
      <c r="G9" s="185"/>
      <c r="H9" s="185"/>
      <c r="I9" s="185"/>
      <c r="J9" s="185"/>
      <c r="K9" s="185"/>
      <c r="L9" s="185" t="s">
        <v>512</v>
      </c>
      <c r="P9" s="11"/>
      <c r="Q9" s="51"/>
      <c r="R9" s="51"/>
      <c r="S9" s="51"/>
      <c r="T9" s="51"/>
      <c r="U9" s="51"/>
      <c r="V9" s="18"/>
      <c r="W9" s="134"/>
      <c r="X9" s="134"/>
      <c r="Y9" s="134"/>
    </row>
    <row r="10" spans="1:25" ht="18.600000000000001">
      <c r="B10" s="85" t="s">
        <v>2</v>
      </c>
      <c r="C10" s="85"/>
      <c r="E10" s="185"/>
      <c r="F10" s="185"/>
      <c r="G10" s="185"/>
      <c r="H10" s="185"/>
      <c r="I10" s="185"/>
      <c r="J10" s="185"/>
      <c r="K10" s="185"/>
      <c r="L10" s="185"/>
      <c r="W10" s="134"/>
      <c r="X10" s="134"/>
      <c r="Y10" s="134"/>
    </row>
    <row r="11" spans="1:25" ht="15" customHeight="1">
      <c r="B11" s="85"/>
      <c r="C11" s="85"/>
      <c r="E11" s="174" t="s">
        <v>448</v>
      </c>
      <c r="F11" s="174"/>
      <c r="G11" s="174"/>
      <c r="H11" s="174"/>
      <c r="I11" s="174"/>
      <c r="J11" s="174"/>
      <c r="K11" s="175"/>
      <c r="L11" s="102">
        <v>50</v>
      </c>
      <c r="N11" s="185" t="s">
        <v>502</v>
      </c>
      <c r="O11" s="185"/>
      <c r="P11" s="185"/>
      <c r="Q11" s="185"/>
      <c r="R11" s="185"/>
      <c r="S11" s="185"/>
      <c r="T11" s="185"/>
      <c r="U11" s="185" t="s">
        <v>512</v>
      </c>
      <c r="W11" s="134"/>
      <c r="X11" s="134"/>
      <c r="Y11" s="134"/>
    </row>
    <row r="12" spans="1:25" ht="15" customHeight="1">
      <c r="B12" s="85" t="s">
        <v>3</v>
      </c>
      <c r="C12" s="85"/>
      <c r="E12" s="174"/>
      <c r="F12" s="174"/>
      <c r="G12" s="174"/>
      <c r="H12" s="174"/>
      <c r="I12" s="174"/>
      <c r="J12" s="174"/>
      <c r="K12" s="175"/>
      <c r="L12" s="102"/>
      <c r="N12" s="185"/>
      <c r="O12" s="185"/>
      <c r="P12" s="185"/>
      <c r="Q12" s="185"/>
      <c r="R12" s="185"/>
      <c r="S12" s="185"/>
      <c r="T12" s="185"/>
      <c r="U12" s="185"/>
      <c r="W12" s="134"/>
      <c r="X12" s="134"/>
      <c r="Y12" s="134"/>
    </row>
    <row r="13" spans="1:25" ht="18.600000000000001">
      <c r="B13" s="85"/>
      <c r="C13" s="85"/>
      <c r="E13" s="172" t="s">
        <v>572</v>
      </c>
      <c r="F13" s="172"/>
      <c r="G13" s="172"/>
      <c r="H13" s="172"/>
      <c r="I13" s="172"/>
      <c r="J13" s="172"/>
      <c r="K13" s="173"/>
      <c r="L13" s="228">
        <v>50</v>
      </c>
      <c r="M13" s="239"/>
      <c r="W13" s="40"/>
      <c r="X13" s="40"/>
      <c r="Y13" s="40"/>
    </row>
    <row r="14" spans="1:25" ht="18.600000000000001">
      <c r="B14" s="85" t="s">
        <v>4</v>
      </c>
      <c r="C14" s="85"/>
      <c r="E14" s="172"/>
      <c r="F14" s="172"/>
      <c r="G14" s="172"/>
      <c r="H14" s="172"/>
      <c r="I14" s="172"/>
      <c r="J14" s="172"/>
      <c r="K14" s="173"/>
      <c r="L14" s="228"/>
      <c r="M14" s="239"/>
      <c r="N14" s="174" t="s">
        <v>454</v>
      </c>
      <c r="O14" s="174"/>
      <c r="P14" s="174"/>
      <c r="Q14" s="174"/>
      <c r="R14" s="174"/>
      <c r="S14" s="174"/>
      <c r="T14" s="175"/>
      <c r="U14" s="102">
        <v>0</v>
      </c>
      <c r="W14" s="135" t="s">
        <v>486</v>
      </c>
      <c r="X14" s="135"/>
      <c r="Y14" s="135"/>
    </row>
    <row r="15" spans="1:25" ht="18.600000000000001">
      <c r="B15" s="85"/>
      <c r="C15" s="85"/>
      <c r="E15" s="174" t="s">
        <v>505</v>
      </c>
      <c r="F15" s="174"/>
      <c r="G15" s="174"/>
      <c r="H15" s="174"/>
      <c r="I15" s="174"/>
      <c r="J15" s="174"/>
      <c r="K15" s="175"/>
      <c r="L15" s="102">
        <v>0</v>
      </c>
      <c r="N15" s="174"/>
      <c r="O15" s="174"/>
      <c r="P15" s="174"/>
      <c r="Q15" s="174"/>
      <c r="R15" s="174"/>
      <c r="S15" s="174"/>
      <c r="T15" s="175"/>
      <c r="U15" s="102"/>
      <c r="W15" s="135"/>
      <c r="X15" s="135"/>
      <c r="Y15" s="135"/>
    </row>
    <row r="16" spans="1:25" ht="18.600000000000001">
      <c r="B16" s="85" t="s">
        <v>523</v>
      </c>
      <c r="C16" s="85"/>
      <c r="E16" s="174"/>
      <c r="F16" s="174"/>
      <c r="G16" s="174"/>
      <c r="H16" s="174"/>
      <c r="I16" s="174"/>
      <c r="J16" s="174"/>
      <c r="K16" s="175"/>
      <c r="L16" s="102"/>
      <c r="N16" s="172" t="s">
        <v>573</v>
      </c>
      <c r="O16" s="172"/>
      <c r="P16" s="172"/>
      <c r="Q16" s="172"/>
      <c r="R16" s="172"/>
      <c r="S16" s="172"/>
      <c r="T16" s="173"/>
      <c r="U16" s="228">
        <v>0</v>
      </c>
      <c r="W16" s="40"/>
      <c r="X16" s="40"/>
      <c r="Y16" s="40"/>
    </row>
    <row r="17" spans="2:25" ht="18.600000000000001">
      <c r="B17" s="85"/>
      <c r="C17" s="85"/>
      <c r="N17" s="172"/>
      <c r="O17" s="172"/>
      <c r="P17" s="172"/>
      <c r="Q17" s="172"/>
      <c r="R17" s="172"/>
      <c r="S17" s="172"/>
      <c r="T17" s="173"/>
      <c r="U17" s="228"/>
    </row>
    <row r="18" spans="2:25" ht="15" customHeight="1">
      <c r="B18" s="85" t="s">
        <v>432</v>
      </c>
      <c r="C18" s="85"/>
      <c r="E18" s="185" t="str">
        <f>+"Procesos terminados en "&amp;Administrador!B17&amp;" semestre de "&amp;Administrador!B18</f>
        <v>Procesos terminados en SEGUNDO semestre de 2024</v>
      </c>
      <c r="F18" s="185"/>
      <c r="G18" s="185"/>
      <c r="H18" s="185"/>
      <c r="I18" s="185"/>
      <c r="J18" s="185"/>
      <c r="K18" s="185"/>
      <c r="L18" s="188"/>
      <c r="N18" s="174" t="s">
        <v>503</v>
      </c>
      <c r="O18" s="174"/>
      <c r="P18" s="174"/>
      <c r="Q18" s="174"/>
      <c r="R18" s="174"/>
      <c r="S18" s="174"/>
      <c r="T18" s="175"/>
      <c r="U18" s="102">
        <v>0</v>
      </c>
      <c r="W18" s="215" t="str">
        <f>"1️⃣Con fecha de admisión anterior al 31/12/2024"</f>
        <v>1️⃣Con fecha de admisión anterior al 31/12/2024</v>
      </c>
      <c r="X18" s="215"/>
      <c r="Y18" s="215"/>
    </row>
    <row r="19" spans="2:25" ht="18.600000000000001">
      <c r="B19" s="85"/>
      <c r="C19" s="85"/>
      <c r="E19" s="185"/>
      <c r="F19" s="185"/>
      <c r="G19" s="185"/>
      <c r="H19" s="185"/>
      <c r="I19" s="185"/>
      <c r="J19" s="185"/>
      <c r="K19" s="185"/>
      <c r="L19" s="188"/>
      <c r="N19" s="174"/>
      <c r="O19" s="174"/>
      <c r="P19" s="174"/>
      <c r="Q19" s="174"/>
      <c r="R19" s="174"/>
      <c r="S19" s="174"/>
      <c r="T19" s="175"/>
      <c r="U19" s="102"/>
      <c r="W19" s="215"/>
      <c r="X19" s="215"/>
      <c r="Y19" s="215"/>
    </row>
    <row r="20" spans="2:25" ht="18.600000000000001">
      <c r="B20" s="85" t="s">
        <v>433</v>
      </c>
      <c r="C20" s="85"/>
      <c r="E20" s="235" t="str">
        <f>"Procesos terminados durante el "&amp;Administrador!B17&amp;" semestre de "&amp;Administrador!B18&amp;" según jurídica"</f>
        <v>Procesos terminados durante el SEGUNDO semestre de 2024 según jurídica</v>
      </c>
      <c r="F20" s="235"/>
      <c r="G20" s="235"/>
      <c r="H20" s="235"/>
      <c r="I20" s="235"/>
      <c r="J20" s="235"/>
      <c r="K20" s="236"/>
      <c r="L20" s="102">
        <v>2</v>
      </c>
      <c r="N20" s="57"/>
      <c r="O20" s="57"/>
      <c r="P20" s="57"/>
      <c r="Q20" s="57"/>
      <c r="R20" s="57"/>
      <c r="S20" s="57"/>
      <c r="T20" s="57"/>
      <c r="U20" s="59"/>
      <c r="W20" s="215" t="str">
        <f>"2️⃣Con fecha de actuación de terminación en este periodo"</f>
        <v>2️⃣Con fecha de actuación de terminación en este periodo</v>
      </c>
      <c r="X20" s="215"/>
      <c r="Y20" s="215"/>
    </row>
    <row r="21" spans="2:25" ht="18.600000000000001">
      <c r="B21" s="85"/>
      <c r="C21" s="85"/>
      <c r="E21" s="235"/>
      <c r="F21" s="235"/>
      <c r="G21" s="235"/>
      <c r="H21" s="235"/>
      <c r="I21" s="235"/>
      <c r="J21" s="235"/>
      <c r="K21" s="236"/>
      <c r="L21" s="102"/>
      <c r="M21" s="239"/>
      <c r="N21" s="185" t="s">
        <v>515</v>
      </c>
      <c r="O21" s="185"/>
      <c r="P21" s="185"/>
      <c r="Q21" s="185"/>
      <c r="R21" s="185"/>
      <c r="S21" s="185"/>
      <c r="T21" s="185"/>
      <c r="U21" s="64"/>
      <c r="W21" s="215"/>
      <c r="X21" s="215"/>
      <c r="Y21" s="215"/>
    </row>
    <row r="22" spans="2:25" ht="15" customHeight="1">
      <c r="E22" s="237" t="str">
        <f>"Procesos terminados en eKOGUI durante el "&amp;Administrador!B17&amp;" semestre de "&amp;Administrador!B18&amp;"2️⃣"</f>
        <v>Procesos terminados en eKOGUI durante el SEGUNDO semestre de 20242️⃣</v>
      </c>
      <c r="F22" s="237"/>
      <c r="G22" s="237"/>
      <c r="H22" s="237"/>
      <c r="I22" s="237"/>
      <c r="J22" s="237"/>
      <c r="K22" s="238"/>
      <c r="L22" s="228">
        <v>2</v>
      </c>
      <c r="M22" s="239"/>
      <c r="N22" s="185"/>
      <c r="O22" s="185"/>
      <c r="P22" s="185"/>
      <c r="Q22" s="185"/>
      <c r="R22" s="185"/>
      <c r="S22" s="185"/>
      <c r="T22" s="185"/>
      <c r="U22" s="61"/>
      <c r="W22" s="215" t="s">
        <v>583</v>
      </c>
      <c r="X22" s="215"/>
      <c r="Y22" s="215"/>
    </row>
    <row r="23" spans="2:25">
      <c r="E23" s="237"/>
      <c r="F23" s="237"/>
      <c r="G23" s="237"/>
      <c r="H23" s="237"/>
      <c r="I23" s="237"/>
      <c r="J23" s="237"/>
      <c r="K23" s="238"/>
      <c r="L23" s="228"/>
      <c r="N23" s="231" t="str">
        <f>"Procesos activos eKOGUI - Calidad demandado"</f>
        <v>Procesos activos eKOGUI - Calidad demandado</v>
      </c>
      <c r="O23" s="231"/>
      <c r="P23" s="231"/>
      <c r="Q23" s="231"/>
      <c r="R23" s="231"/>
      <c r="S23" s="231"/>
      <c r="T23" s="232"/>
      <c r="U23" s="229">
        <v>18</v>
      </c>
      <c r="W23" s="215"/>
      <c r="X23" s="215"/>
      <c r="Y23" s="215"/>
    </row>
    <row r="24" spans="2:25">
      <c r="E24" s="17"/>
      <c r="F24" s="17"/>
      <c r="G24" s="17"/>
      <c r="H24" s="17"/>
      <c r="I24" s="17"/>
      <c r="J24" s="17"/>
      <c r="K24" s="77">
        <f>+L22*25%</f>
        <v>0.5</v>
      </c>
      <c r="L24" s="77">
        <f>+IF(L22&lt;10,L22,IF(K24&lt;10,10,K24))</f>
        <v>2</v>
      </c>
      <c r="M24" s="19"/>
      <c r="N24" s="231"/>
      <c r="O24" s="231"/>
      <c r="P24" s="231"/>
      <c r="Q24" s="231"/>
      <c r="R24" s="231"/>
      <c r="S24" s="231"/>
      <c r="T24" s="232"/>
      <c r="U24" s="229"/>
      <c r="W24" s="215"/>
      <c r="X24" s="215"/>
      <c r="Y24" s="215"/>
    </row>
    <row r="25" spans="2:25">
      <c r="E25" s="185" t="s">
        <v>513</v>
      </c>
      <c r="F25" s="185"/>
      <c r="G25" s="185"/>
      <c r="H25" s="185"/>
      <c r="I25" s="185"/>
      <c r="J25" s="185"/>
      <c r="K25" s="185"/>
      <c r="L25" s="61"/>
      <c r="M25" s="19"/>
      <c r="N25" s="233" t="str">
        <f>"Procesos eKOGUI - Calificación durante o posterior al semestre "&amp;Administrador!B16</f>
        <v>Procesos eKOGUI - Calificación durante o posterior al semestre II - 2024</v>
      </c>
      <c r="O25" s="233"/>
      <c r="P25" s="233"/>
      <c r="Q25" s="233"/>
      <c r="R25" s="233"/>
      <c r="S25" s="233"/>
      <c r="T25" s="234"/>
      <c r="U25" s="228">
        <v>16</v>
      </c>
      <c r="W25" s="215"/>
      <c r="X25" s="215"/>
      <c r="Y25" s="215"/>
    </row>
    <row r="26" spans="2:25">
      <c r="E26" s="185"/>
      <c r="F26" s="185"/>
      <c r="G26" s="185"/>
      <c r="H26" s="185"/>
      <c r="I26" s="185"/>
      <c r="J26" s="185"/>
      <c r="K26" s="185"/>
      <c r="L26" s="62"/>
      <c r="N26" s="233"/>
      <c r="O26" s="233"/>
      <c r="P26" s="233"/>
      <c r="Q26" s="233"/>
      <c r="R26" s="233"/>
      <c r="S26" s="233"/>
      <c r="T26" s="234"/>
      <c r="U26" s="228"/>
      <c r="W26" s="54"/>
      <c r="X26" s="54"/>
      <c r="Y26" s="54"/>
    </row>
    <row r="27" spans="2:25">
      <c r="E27" s="174" t="str">
        <f>"Procesos terminados en eKOGUI al "&amp;Administrador!B19&amp;" de "&amp;Administrador!B18</f>
        <v>Procesos terminados en eKOGUI al 31 DE DICIEMBRE  de 2024</v>
      </c>
      <c r="F27" s="174"/>
      <c r="G27" s="174"/>
      <c r="H27" s="174"/>
      <c r="I27" s="174"/>
      <c r="J27" s="174"/>
      <c r="K27" s="175"/>
      <c r="L27" s="102">
        <v>133</v>
      </c>
      <c r="N27" s="174" t="str">
        <f>"Procesos eKOGUI - Calificación anterior al semestre "&amp;Administrador!B16</f>
        <v>Procesos eKOGUI - Calificación anterior al semestre II - 2024</v>
      </c>
      <c r="O27" s="174"/>
      <c r="P27" s="174"/>
      <c r="Q27" s="174"/>
      <c r="R27" s="174"/>
      <c r="S27" s="174"/>
      <c r="T27" s="175"/>
      <c r="U27" s="102">
        <v>1</v>
      </c>
      <c r="W27" s="215" t="str">
        <f>"4️⃣Equivalente a un valor indexado de $38.280 millones a 31 de Diciembre de "&amp;Administrador!A27&amp;""</f>
        <v>4️⃣Equivalente a un valor indexado de $38.280 millones a 31 de Diciembre de 2024</v>
      </c>
      <c r="X27" s="215"/>
      <c r="Y27" s="215"/>
    </row>
    <row r="28" spans="2:25">
      <c r="E28" s="174"/>
      <c r="F28" s="174"/>
      <c r="G28" s="174"/>
      <c r="H28" s="174"/>
      <c r="I28" s="174"/>
      <c r="J28" s="174"/>
      <c r="K28" s="175"/>
      <c r="L28" s="102"/>
      <c r="N28" s="174"/>
      <c r="O28" s="174"/>
      <c r="P28" s="174"/>
      <c r="Q28" s="174"/>
      <c r="R28" s="174"/>
      <c r="S28" s="174"/>
      <c r="T28" s="175"/>
      <c r="U28" s="102"/>
      <c r="W28" s="215"/>
      <c r="X28" s="215"/>
      <c r="Y28" s="215"/>
    </row>
    <row r="29" spans="2:25">
      <c r="E29" s="172" t="s">
        <v>574</v>
      </c>
      <c r="F29" s="172"/>
      <c r="G29" s="172"/>
      <c r="H29" s="172"/>
      <c r="I29" s="172"/>
      <c r="J29" s="172"/>
      <c r="K29" s="173"/>
      <c r="L29" s="228">
        <v>9</v>
      </c>
      <c r="N29" s="225" t="s">
        <v>575</v>
      </c>
      <c r="O29" s="225"/>
      <c r="P29" s="225"/>
      <c r="Q29" s="225"/>
      <c r="R29" s="225"/>
      <c r="S29" s="225"/>
      <c r="T29" s="226"/>
      <c r="U29" s="227">
        <v>1</v>
      </c>
      <c r="W29" s="215"/>
      <c r="X29" s="215"/>
      <c r="Y29" s="215"/>
    </row>
    <row r="30" spans="2:25">
      <c r="E30" s="172"/>
      <c r="F30" s="172"/>
      <c r="G30" s="172"/>
      <c r="H30" s="172"/>
      <c r="I30" s="172"/>
      <c r="J30" s="172"/>
      <c r="K30" s="173"/>
      <c r="L30" s="228"/>
      <c r="N30" s="225"/>
      <c r="O30" s="225"/>
      <c r="P30" s="225"/>
      <c r="Q30" s="225"/>
      <c r="R30" s="225"/>
      <c r="S30" s="225"/>
      <c r="T30" s="226"/>
      <c r="U30" s="227"/>
      <c r="W30" s="215" t="s">
        <v>584</v>
      </c>
      <c r="X30" s="215"/>
      <c r="Y30" s="215"/>
    </row>
    <row r="31" spans="2:25">
      <c r="W31" s="215"/>
      <c r="X31" s="215"/>
      <c r="Y31" s="215"/>
    </row>
    <row r="32" spans="2:25" ht="15" customHeight="1">
      <c r="N32" s="185" t="s">
        <v>516</v>
      </c>
      <c r="O32" s="185"/>
      <c r="P32" s="185"/>
      <c r="Q32" s="185"/>
      <c r="R32" s="224"/>
      <c r="S32" s="207" t="s">
        <v>519</v>
      </c>
      <c r="T32" s="157" t="s">
        <v>518</v>
      </c>
      <c r="U32" s="208"/>
      <c r="W32" s="215"/>
      <c r="X32" s="215"/>
      <c r="Y32" s="215"/>
    </row>
    <row r="33" spans="5:26">
      <c r="E33" s="230" t="str">
        <f>"Seleccione "&amp;L24&amp;" procesos teminados en el segundo semestre de "&amp;Administrador!A27&amp;" y llene la siguiente tabla:"</f>
        <v>Seleccione 2 procesos teminados en el segundo semestre de 2024 y llene la siguiente tabla:</v>
      </c>
      <c r="F33" s="230"/>
      <c r="G33" s="230"/>
      <c r="H33" s="230"/>
      <c r="I33" s="230"/>
      <c r="J33" s="230"/>
      <c r="K33" s="230"/>
      <c r="L33" s="230"/>
      <c r="N33" s="185"/>
      <c r="O33" s="185"/>
      <c r="P33" s="185"/>
      <c r="Q33" s="185"/>
      <c r="R33" s="224"/>
      <c r="S33" s="207"/>
      <c r="T33" s="208"/>
      <c r="U33" s="208"/>
      <c r="V33" s="75"/>
      <c r="W33" s="215" t="str">
        <f>"6️⃣Solo se consideran los procesos activos en e-Kogui - calidad demandado que tengan calificación de riesgo"</f>
        <v>6️⃣Solo se consideran los procesos activos en e-Kogui - calidad demandado que tengan calificación de riesgo</v>
      </c>
      <c r="X33" s="215"/>
      <c r="Y33" s="215"/>
    </row>
    <row r="34" spans="5:26">
      <c r="E34" s="230"/>
      <c r="F34" s="230"/>
      <c r="G34" s="230"/>
      <c r="H34" s="230"/>
      <c r="I34" s="230"/>
      <c r="J34" s="230"/>
      <c r="K34" s="230"/>
      <c r="L34" s="230"/>
      <c r="N34" s="211" t="s">
        <v>517</v>
      </c>
      <c r="O34" s="211"/>
      <c r="P34" s="211"/>
      <c r="Q34" s="211"/>
      <c r="R34" s="212"/>
      <c r="S34" s="216">
        <v>3</v>
      </c>
      <c r="T34" s="217">
        <v>0</v>
      </c>
      <c r="U34" s="102"/>
      <c r="V34" s="75"/>
      <c r="W34" s="215"/>
      <c r="X34" s="215"/>
      <c r="Y34" s="215"/>
    </row>
    <row r="35" spans="5:26">
      <c r="E35" s="230"/>
      <c r="F35" s="230"/>
      <c r="G35" s="230"/>
      <c r="H35" s="230"/>
      <c r="I35" s="230"/>
      <c r="J35" s="230"/>
      <c r="K35" s="230"/>
      <c r="L35" s="230"/>
      <c r="N35" s="211"/>
      <c r="O35" s="211"/>
      <c r="P35" s="211"/>
      <c r="Q35" s="211"/>
      <c r="R35" s="212"/>
      <c r="S35" s="216"/>
      <c r="T35" s="217"/>
      <c r="U35" s="102"/>
      <c r="V35" s="75">
        <f>+S34-T34</f>
        <v>3</v>
      </c>
      <c r="W35" s="215"/>
      <c r="X35" s="215"/>
      <c r="Y35" s="215"/>
    </row>
    <row r="36" spans="5:26">
      <c r="E36" s="63"/>
      <c r="F36" s="63"/>
      <c r="G36" s="63"/>
      <c r="H36" s="63"/>
      <c r="I36" s="63"/>
      <c r="J36" s="63"/>
      <c r="K36" s="63"/>
      <c r="L36" s="63"/>
      <c r="N36" s="209" t="s">
        <v>455</v>
      </c>
      <c r="O36" s="209"/>
      <c r="P36" s="209"/>
      <c r="Q36" s="209"/>
      <c r="R36" s="210"/>
      <c r="S36" s="218">
        <v>3</v>
      </c>
      <c r="T36" s="220">
        <v>3</v>
      </c>
      <c r="U36" s="221"/>
      <c r="V36" s="75"/>
      <c r="W36" s="215"/>
      <c r="X36" s="215"/>
      <c r="Y36" s="215"/>
      <c r="Z36" s="13"/>
    </row>
    <row r="37" spans="5:26">
      <c r="E37" s="157" t="s">
        <v>514</v>
      </c>
      <c r="F37" s="157"/>
      <c r="G37" s="157"/>
      <c r="H37" s="157"/>
      <c r="I37" s="157"/>
      <c r="J37" s="157"/>
      <c r="K37" s="157"/>
      <c r="L37" s="58"/>
      <c r="N37" s="209"/>
      <c r="O37" s="209"/>
      <c r="P37" s="209"/>
      <c r="Q37" s="209"/>
      <c r="R37" s="210"/>
      <c r="S37" s="218"/>
      <c r="T37" s="220"/>
      <c r="U37" s="221"/>
      <c r="V37" s="75">
        <f>+S36-T36</f>
        <v>0</v>
      </c>
      <c r="W37" s="215"/>
      <c r="X37" s="215"/>
      <c r="Y37" s="215"/>
    </row>
    <row r="38" spans="5:26">
      <c r="E38" s="157"/>
      <c r="F38" s="157"/>
      <c r="G38" s="157"/>
      <c r="H38" s="157"/>
      <c r="I38" s="157"/>
      <c r="J38" s="157"/>
      <c r="K38" s="157"/>
      <c r="L38" s="62"/>
      <c r="N38" s="211" t="s">
        <v>456</v>
      </c>
      <c r="O38" s="211"/>
      <c r="P38" s="211"/>
      <c r="Q38" s="211"/>
      <c r="R38" s="212"/>
      <c r="S38" s="216">
        <v>11</v>
      </c>
      <c r="T38" s="217">
        <v>11</v>
      </c>
      <c r="U38" s="102"/>
      <c r="V38" s="75"/>
      <c r="W38" s="206" t="s">
        <v>520</v>
      </c>
      <c r="X38" s="206"/>
      <c r="Y38" s="206"/>
    </row>
    <row r="39" spans="5:26">
      <c r="E39" s="174" t="s">
        <v>449</v>
      </c>
      <c r="F39" s="174"/>
      <c r="G39" s="174"/>
      <c r="H39" s="174"/>
      <c r="I39" s="174"/>
      <c r="J39" s="174"/>
      <c r="K39" s="175"/>
      <c r="L39" s="102">
        <v>2</v>
      </c>
      <c r="M39" s="13"/>
      <c r="N39" s="211"/>
      <c r="O39" s="211"/>
      <c r="P39" s="211"/>
      <c r="Q39" s="211"/>
      <c r="R39" s="212"/>
      <c r="S39" s="216"/>
      <c r="T39" s="217"/>
      <c r="U39" s="102"/>
      <c r="V39" s="75">
        <f>+S38-T38</f>
        <v>0</v>
      </c>
      <c r="W39" s="206"/>
      <c r="X39" s="206"/>
      <c r="Y39" s="206"/>
    </row>
    <row r="40" spans="5:26">
      <c r="E40" s="174"/>
      <c r="F40" s="174"/>
      <c r="G40" s="174"/>
      <c r="H40" s="174"/>
      <c r="I40" s="174"/>
      <c r="J40" s="174"/>
      <c r="K40" s="175"/>
      <c r="L40" s="102"/>
      <c r="N40" s="213" t="s">
        <v>457</v>
      </c>
      <c r="O40" s="213"/>
      <c r="P40" s="213"/>
      <c r="Q40" s="213"/>
      <c r="R40" s="214"/>
      <c r="S40" s="219"/>
      <c r="T40" s="222"/>
      <c r="U40" s="223"/>
      <c r="V40" s="75"/>
      <c r="W40" s="206"/>
      <c r="X40" s="206"/>
      <c r="Y40" s="206"/>
    </row>
    <row r="41" spans="5:26">
      <c r="E41" s="172" t="s">
        <v>450</v>
      </c>
      <c r="F41" s="172"/>
      <c r="G41" s="172"/>
      <c r="H41" s="172"/>
      <c r="I41" s="172"/>
      <c r="J41" s="172"/>
      <c r="K41" s="173"/>
      <c r="L41" s="228">
        <v>1</v>
      </c>
      <c r="N41" s="213"/>
      <c r="O41" s="213"/>
      <c r="P41" s="213"/>
      <c r="Q41" s="213"/>
      <c r="R41" s="214"/>
      <c r="S41" s="219"/>
      <c r="T41" s="222"/>
      <c r="U41" s="223"/>
      <c r="V41" s="75">
        <f>+S40-T40</f>
        <v>0</v>
      </c>
      <c r="W41" s="206"/>
      <c r="X41" s="206"/>
      <c r="Y41" s="206"/>
    </row>
    <row r="42" spans="5:26">
      <c r="E42" s="172"/>
      <c r="F42" s="172"/>
      <c r="G42" s="172"/>
      <c r="H42" s="172"/>
      <c r="I42" s="172"/>
      <c r="J42" s="172"/>
      <c r="K42" s="173"/>
      <c r="L42" s="228"/>
      <c r="V42" s="75"/>
      <c r="W42" s="206"/>
      <c r="X42" s="206"/>
      <c r="Y42" s="206"/>
    </row>
    <row r="43" spans="5:26">
      <c r="E43" s="174" t="s">
        <v>451</v>
      </c>
      <c r="F43" s="174"/>
      <c r="G43" s="174"/>
      <c r="H43" s="174"/>
      <c r="I43" s="174"/>
      <c r="J43" s="174"/>
      <c r="K43" s="175"/>
      <c r="L43" s="102">
        <v>0</v>
      </c>
      <c r="N43" s="112" t="s">
        <v>0</v>
      </c>
      <c r="O43" s="112"/>
      <c r="V43" s="75"/>
      <c r="W43" s="41"/>
      <c r="X43" s="41"/>
      <c r="Y43" s="41"/>
    </row>
    <row r="44" spans="5:26">
      <c r="E44" s="174"/>
      <c r="F44" s="174"/>
      <c r="G44" s="174"/>
      <c r="H44" s="174"/>
      <c r="I44" s="174"/>
      <c r="J44" s="174"/>
      <c r="K44" s="175"/>
      <c r="L44" s="102"/>
      <c r="N44" s="112"/>
      <c r="O44" s="112"/>
      <c r="W44" s="41"/>
      <c r="X44" s="41"/>
      <c r="Y44" s="41"/>
    </row>
    <row r="45" spans="5:26">
      <c r="E45" s="172" t="s">
        <v>452</v>
      </c>
      <c r="F45" s="172"/>
      <c r="G45" s="172"/>
      <c r="H45" s="172"/>
      <c r="I45" s="172"/>
      <c r="J45" s="172"/>
      <c r="K45" s="173"/>
      <c r="L45" s="228">
        <v>0</v>
      </c>
      <c r="N45" s="123" t="s">
        <v>659</v>
      </c>
      <c r="O45" s="142"/>
      <c r="P45" s="142"/>
      <c r="Q45" s="142"/>
      <c r="R45" s="142"/>
      <c r="S45" s="142"/>
      <c r="T45" s="142"/>
      <c r="U45" s="142"/>
      <c r="W45" s="41"/>
      <c r="X45" s="41"/>
      <c r="Y45" s="41"/>
    </row>
    <row r="46" spans="5:26">
      <c r="E46" s="172"/>
      <c r="F46" s="172"/>
      <c r="G46" s="172"/>
      <c r="H46" s="172"/>
      <c r="I46" s="172"/>
      <c r="J46" s="172"/>
      <c r="K46" s="173"/>
      <c r="L46" s="228"/>
      <c r="N46" s="142"/>
      <c r="O46" s="142"/>
      <c r="P46" s="142"/>
      <c r="Q46" s="142"/>
      <c r="R46" s="142"/>
      <c r="S46" s="142"/>
      <c r="T46" s="142"/>
      <c r="U46" s="142"/>
      <c r="W46" s="41"/>
      <c r="X46" s="41"/>
      <c r="Y46" s="41"/>
    </row>
    <row r="47" spans="5:26">
      <c r="E47" s="174" t="s">
        <v>453</v>
      </c>
      <c r="F47" s="174"/>
      <c r="G47" s="174"/>
      <c r="H47" s="174"/>
      <c r="I47" s="174"/>
      <c r="J47" s="174"/>
      <c r="K47" s="175"/>
      <c r="L47" s="102">
        <v>0</v>
      </c>
      <c r="N47" s="142"/>
      <c r="O47" s="142"/>
      <c r="P47" s="142"/>
      <c r="Q47" s="142"/>
      <c r="R47" s="142"/>
      <c r="S47" s="142"/>
      <c r="T47" s="142"/>
      <c r="U47" s="142"/>
      <c r="W47" s="41"/>
      <c r="X47" s="41"/>
      <c r="Y47" s="41"/>
    </row>
    <row r="48" spans="5:26">
      <c r="E48" s="174"/>
      <c r="F48" s="174"/>
      <c r="G48" s="174"/>
      <c r="H48" s="174"/>
      <c r="I48" s="174"/>
      <c r="J48" s="174"/>
      <c r="K48" s="175"/>
      <c r="L48" s="102"/>
      <c r="N48" s="142"/>
      <c r="O48" s="142"/>
      <c r="P48" s="142"/>
      <c r="Q48" s="142"/>
      <c r="R48" s="142"/>
      <c r="S48" s="142"/>
      <c r="T48" s="142"/>
      <c r="U48" s="142"/>
      <c r="W48" s="41"/>
      <c r="X48" s="41"/>
      <c r="Y48" s="41"/>
    </row>
    <row r="49" spans="23:25">
      <c r="W49" s="41"/>
      <c r="X49" s="41"/>
      <c r="Y49" s="41"/>
    </row>
    <row r="50" spans="23:25">
      <c r="W50" s="41"/>
      <c r="X50" s="41"/>
      <c r="Y50" s="41"/>
    </row>
    <row r="51" spans="23:25">
      <c r="W51" s="41"/>
      <c r="X51" s="41"/>
      <c r="Y51" s="41"/>
    </row>
    <row r="52" spans="23:25">
      <c r="W52" s="41"/>
      <c r="X52" s="41"/>
      <c r="Y52" s="41"/>
    </row>
    <row r="53" spans="23:25">
      <c r="W53" s="41"/>
      <c r="X53" s="41"/>
      <c r="Y53" s="41"/>
    </row>
  </sheetData>
  <sheetProtection algorithmName="SHA-512" hashValue="T/NmpdDP8BtpPuQSHNyqFFBuQINk8YLMlB6/msvnwuIz9vGEsNDmKwvPDDXzdIpBL/vcjjOfszTV6IVGPWKmNw==" saltValue="YJOtEHG09iWRWAzI85GnqQ==" spinCount="100000" sheet="1" objects="1" scenarios="1"/>
  <mergeCells count="95">
    <mergeCell ref="S6:U6"/>
    <mergeCell ref="S7:U8"/>
    <mergeCell ref="L13:L14"/>
    <mergeCell ref="E9:K10"/>
    <mergeCell ref="W30:Y32"/>
    <mergeCell ref="W22:Y25"/>
    <mergeCell ref="W27:Y29"/>
    <mergeCell ref="W20:Y21"/>
    <mergeCell ref="L18:L19"/>
    <mergeCell ref="E25:K26"/>
    <mergeCell ref="B18:C18"/>
    <mergeCell ref="B20:C20"/>
    <mergeCell ref="E6:O7"/>
    <mergeCell ref="B16:C16"/>
    <mergeCell ref="M13:M14"/>
    <mergeCell ref="E15:K16"/>
    <mergeCell ref="L20:L21"/>
    <mergeCell ref="M21:M22"/>
    <mergeCell ref="B11:C11"/>
    <mergeCell ref="B13:C13"/>
    <mergeCell ref="B15:C15"/>
    <mergeCell ref="B17:C17"/>
    <mergeCell ref="B19:C19"/>
    <mergeCell ref="B21:C21"/>
    <mergeCell ref="L9:L10"/>
    <mergeCell ref="E18:K19"/>
    <mergeCell ref="B2:C4"/>
    <mergeCell ref="B6:C6"/>
    <mergeCell ref="B8:C8"/>
    <mergeCell ref="B14:C14"/>
    <mergeCell ref="B10:C10"/>
    <mergeCell ref="B12:C12"/>
    <mergeCell ref="E3:Y4"/>
    <mergeCell ref="E45:K46"/>
    <mergeCell ref="E29:K30"/>
    <mergeCell ref="L29:L30"/>
    <mergeCell ref="W6:Y12"/>
    <mergeCell ref="W14:Y15"/>
    <mergeCell ref="L41:L42"/>
    <mergeCell ref="L45:L46"/>
    <mergeCell ref="N23:T24"/>
    <mergeCell ref="N25:T26"/>
    <mergeCell ref="U25:U26"/>
    <mergeCell ref="N27:T28"/>
    <mergeCell ref="L15:L16"/>
    <mergeCell ref="E20:K21"/>
    <mergeCell ref="W18:Y19"/>
    <mergeCell ref="E22:K23"/>
    <mergeCell ref="N43:O44"/>
    <mergeCell ref="N45:U48"/>
    <mergeCell ref="E47:K48"/>
    <mergeCell ref="L47:L48"/>
    <mergeCell ref="N14:T15"/>
    <mergeCell ref="U14:U15"/>
    <mergeCell ref="N16:T17"/>
    <mergeCell ref="U16:U17"/>
    <mergeCell ref="N18:T19"/>
    <mergeCell ref="E33:L35"/>
    <mergeCell ref="E39:K40"/>
    <mergeCell ref="L39:L40"/>
    <mergeCell ref="E41:K42"/>
    <mergeCell ref="E43:K44"/>
    <mergeCell ref="L43:L44"/>
    <mergeCell ref="E27:K28"/>
    <mergeCell ref="E37:K38"/>
    <mergeCell ref="N11:T12"/>
    <mergeCell ref="U11:U12"/>
    <mergeCell ref="N21:T22"/>
    <mergeCell ref="N34:R35"/>
    <mergeCell ref="N32:R33"/>
    <mergeCell ref="U27:U28"/>
    <mergeCell ref="E11:K12"/>
    <mergeCell ref="L11:L12"/>
    <mergeCell ref="E13:K14"/>
    <mergeCell ref="N29:T30"/>
    <mergeCell ref="U29:U30"/>
    <mergeCell ref="L22:L23"/>
    <mergeCell ref="U23:U24"/>
    <mergeCell ref="L27:L28"/>
    <mergeCell ref="U18:U19"/>
    <mergeCell ref="W38:Y42"/>
    <mergeCell ref="S32:S33"/>
    <mergeCell ref="T32:U33"/>
    <mergeCell ref="N36:R37"/>
    <mergeCell ref="N38:R39"/>
    <mergeCell ref="N40:R41"/>
    <mergeCell ref="W33:Y37"/>
    <mergeCell ref="S34:S35"/>
    <mergeCell ref="T34:U35"/>
    <mergeCell ref="S36:S37"/>
    <mergeCell ref="S38:S39"/>
    <mergeCell ref="S40:S41"/>
    <mergeCell ref="T36:U37"/>
    <mergeCell ref="T38:U39"/>
    <mergeCell ref="T40:U41"/>
  </mergeCells>
  <dataValidations count="1">
    <dataValidation type="date" allowBlank="1" showInputMessage="1" showErrorMessage="1" promptTitle="Consulta eKOGUI" prompt="Diligenciar la fecha de diligenciamiento de esta hoja Formato (DD/MM/AAAA)" sqref="S7:U8"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dimension ref="B2:Y28"/>
  <sheetViews>
    <sheetView showRowColHeaders="0" topLeftCell="B1" zoomScale="80" zoomScaleNormal="80" workbookViewId="0">
      <selection activeCell="O5" sqref="O5:Q6"/>
    </sheetView>
  </sheetViews>
  <sheetFormatPr baseColWidth="10" defaultColWidth="11.44140625" defaultRowHeight="14.4"/>
  <cols>
    <col min="1" max="1" width="0" style="2" hidden="1" customWidth="1"/>
    <col min="2" max="3" width="16.33203125" style="4" customWidth="1"/>
    <col min="4" max="64" width="9.109375" style="2" customWidth="1"/>
    <col min="65" max="16384" width="11.44140625" style="2"/>
  </cols>
  <sheetData>
    <row r="2" spans="2:25">
      <c r="B2" s="89"/>
      <c r="C2" s="89"/>
      <c r="E2" s="86" t="s">
        <v>4</v>
      </c>
      <c r="F2" s="86"/>
      <c r="G2" s="86"/>
      <c r="H2" s="86"/>
      <c r="I2" s="86"/>
      <c r="J2" s="86"/>
      <c r="K2" s="86"/>
      <c r="L2" s="86"/>
      <c r="M2" s="86"/>
      <c r="N2" s="86"/>
      <c r="O2" s="86"/>
      <c r="P2" s="86"/>
      <c r="Q2" s="86"/>
      <c r="R2" s="86"/>
      <c r="S2" s="86"/>
      <c r="T2" s="86"/>
      <c r="U2" s="86"/>
      <c r="V2" s="86"/>
      <c r="W2" s="86"/>
      <c r="X2" s="86"/>
      <c r="Y2" s="86"/>
    </row>
    <row r="3" spans="2:25" ht="15" thickBot="1">
      <c r="B3" s="89"/>
      <c r="C3" s="89"/>
      <c r="E3" s="87"/>
      <c r="F3" s="87"/>
      <c r="G3" s="87"/>
      <c r="H3" s="87"/>
      <c r="I3" s="87"/>
      <c r="J3" s="87"/>
      <c r="K3" s="87"/>
      <c r="L3" s="87"/>
      <c r="M3" s="87"/>
      <c r="N3" s="87"/>
      <c r="O3" s="87"/>
      <c r="P3" s="87"/>
      <c r="Q3" s="87"/>
      <c r="R3" s="87"/>
      <c r="S3" s="87"/>
      <c r="T3" s="87"/>
      <c r="U3" s="87"/>
      <c r="V3" s="87"/>
      <c r="W3" s="87"/>
      <c r="X3" s="87"/>
      <c r="Y3" s="87"/>
    </row>
    <row r="4" spans="2:25">
      <c r="B4" s="89"/>
      <c r="C4" s="89"/>
      <c r="O4" s="240" t="s">
        <v>435</v>
      </c>
      <c r="P4" s="240"/>
      <c r="Q4" s="240"/>
    </row>
    <row r="5" spans="2:25" ht="14.25" customHeight="1">
      <c r="E5" s="204" t="s">
        <v>460</v>
      </c>
      <c r="F5" s="204"/>
      <c r="G5" s="204"/>
      <c r="H5" s="204"/>
      <c r="I5" s="204"/>
      <c r="J5" s="204"/>
      <c r="K5" s="204"/>
      <c r="L5" s="204"/>
      <c r="M5" s="204"/>
      <c r="N5" s="6"/>
      <c r="O5" s="97">
        <v>45346</v>
      </c>
      <c r="P5" s="97"/>
      <c r="Q5" s="97"/>
      <c r="R5" s="6"/>
      <c r="S5" s="6"/>
      <c r="T5" s="6"/>
      <c r="U5" s="6"/>
      <c r="V5" s="6"/>
    </row>
    <row r="6" spans="2:25" ht="18.600000000000001">
      <c r="B6" s="85" t="s">
        <v>543</v>
      </c>
      <c r="C6" s="85"/>
      <c r="E6" s="204"/>
      <c r="F6" s="204"/>
      <c r="G6" s="204"/>
      <c r="H6" s="204"/>
      <c r="I6" s="204"/>
      <c r="J6" s="204"/>
      <c r="K6" s="204"/>
      <c r="L6" s="204"/>
      <c r="M6" s="204"/>
      <c r="N6" s="6"/>
      <c r="O6" s="97"/>
      <c r="P6" s="97"/>
      <c r="Q6" s="97"/>
      <c r="R6" s="6"/>
      <c r="S6" s="6"/>
      <c r="T6" s="6"/>
      <c r="U6" s="6"/>
      <c r="V6" s="6"/>
    </row>
    <row r="7" spans="2:25" ht="15">
      <c r="B7" s="3"/>
      <c r="C7" s="3"/>
      <c r="E7" s="8"/>
      <c r="F7" s="8"/>
      <c r="G7" s="8"/>
      <c r="H7" s="8"/>
      <c r="I7" s="8"/>
      <c r="J7" s="8"/>
      <c r="K7" s="8"/>
      <c r="L7" s="8"/>
      <c r="M7" s="8"/>
      <c r="N7" s="8"/>
      <c r="O7" s="8"/>
      <c r="P7" s="8"/>
      <c r="Q7" s="8"/>
      <c r="R7" s="8"/>
      <c r="S7" s="8"/>
      <c r="T7" s="8"/>
      <c r="U7" s="8"/>
      <c r="W7" s="43"/>
      <c r="X7" s="43"/>
      <c r="Y7" s="43"/>
    </row>
    <row r="8" spans="2:25" ht="18.600000000000001">
      <c r="B8" s="85" t="s">
        <v>1</v>
      </c>
      <c r="C8" s="85"/>
      <c r="E8" s="185" t="s">
        <v>4</v>
      </c>
      <c r="F8" s="185"/>
      <c r="G8" s="185"/>
      <c r="H8" s="185"/>
      <c r="I8" s="185"/>
      <c r="J8" s="185"/>
      <c r="K8" s="186"/>
      <c r="L8" s="242" t="s">
        <v>512</v>
      </c>
      <c r="M8" s="66"/>
      <c r="N8" s="185" t="s">
        <v>4</v>
      </c>
      <c r="O8" s="185"/>
      <c r="P8" s="185"/>
      <c r="Q8" s="185"/>
      <c r="R8" s="185"/>
      <c r="S8" s="185"/>
      <c r="T8" s="186"/>
      <c r="U8" s="242" t="s">
        <v>512</v>
      </c>
      <c r="W8" s="203" t="s">
        <v>490</v>
      </c>
      <c r="X8" s="203"/>
      <c r="Y8" s="203"/>
    </row>
    <row r="9" spans="2:25">
      <c r="B9" s="3"/>
      <c r="C9" s="3"/>
      <c r="E9" s="185"/>
      <c r="F9" s="185"/>
      <c r="G9" s="185"/>
      <c r="H9" s="185"/>
      <c r="I9" s="185"/>
      <c r="J9" s="185"/>
      <c r="K9" s="186"/>
      <c r="L9" s="242"/>
      <c r="M9" s="66"/>
      <c r="N9" s="185"/>
      <c r="O9" s="185"/>
      <c r="P9" s="185"/>
      <c r="Q9" s="185"/>
      <c r="R9" s="185"/>
      <c r="S9" s="185"/>
      <c r="T9" s="186"/>
      <c r="U9" s="242"/>
      <c r="W9" s="203"/>
      <c r="X9" s="203"/>
      <c r="Y9" s="203"/>
    </row>
    <row r="10" spans="2:25" ht="18.600000000000001">
      <c r="B10" s="85" t="s">
        <v>2</v>
      </c>
      <c r="C10" s="85"/>
      <c r="E10" s="231" t="str">
        <f>"Arbitramentos activos al "&amp;Administrador!B19&amp;" de "&amp;Administrador!B18&amp;" según jurídica"</f>
        <v>Arbitramentos activos al 31 DE DICIEMBRE  de 2024 según jurídica</v>
      </c>
      <c r="F10" s="231"/>
      <c r="G10" s="231"/>
      <c r="H10" s="231"/>
      <c r="I10" s="231"/>
      <c r="J10" s="231"/>
      <c r="K10" s="232"/>
      <c r="L10" s="102">
        <v>0</v>
      </c>
      <c r="N10" s="231" t="str">
        <f>"Total arbitramentos terminados al "&amp;Administrador!B19&amp;" de "&amp;Administrador!B18&amp;" según jurídica"</f>
        <v>Total arbitramentos terminados al 31 DE DICIEMBRE  de 2024 según jurídica</v>
      </c>
      <c r="O10" s="231"/>
      <c r="P10" s="231"/>
      <c r="Q10" s="231"/>
      <c r="R10" s="231"/>
      <c r="S10" s="231"/>
      <c r="T10" s="232"/>
      <c r="U10" s="102">
        <v>0</v>
      </c>
      <c r="W10" s="203"/>
      <c r="X10" s="203"/>
      <c r="Y10" s="203"/>
    </row>
    <row r="11" spans="2:25" ht="18.600000000000001">
      <c r="B11" s="85"/>
      <c r="C11" s="85"/>
      <c r="E11" s="231"/>
      <c r="F11" s="231"/>
      <c r="G11" s="231"/>
      <c r="H11" s="231"/>
      <c r="I11" s="231"/>
      <c r="J11" s="231"/>
      <c r="K11" s="232"/>
      <c r="L11" s="102"/>
      <c r="N11" s="231"/>
      <c r="O11" s="231"/>
      <c r="P11" s="231"/>
      <c r="Q11" s="231"/>
      <c r="R11" s="231"/>
      <c r="S11" s="231"/>
      <c r="T11" s="232"/>
      <c r="U11" s="102"/>
      <c r="W11" s="203"/>
      <c r="X11" s="203"/>
      <c r="Y11" s="203"/>
    </row>
    <row r="12" spans="2:25" ht="18.600000000000001">
      <c r="B12" s="85" t="s">
        <v>3</v>
      </c>
      <c r="C12" s="85"/>
      <c r="E12" s="172" t="s">
        <v>585</v>
      </c>
      <c r="F12" s="172"/>
      <c r="G12" s="172"/>
      <c r="H12" s="172"/>
      <c r="I12" s="172"/>
      <c r="J12" s="172"/>
      <c r="K12" s="173"/>
      <c r="L12" s="228">
        <v>0</v>
      </c>
      <c r="N12" s="172" t="s">
        <v>525</v>
      </c>
      <c r="O12" s="172"/>
      <c r="P12" s="172"/>
      <c r="Q12" s="172"/>
      <c r="R12" s="172"/>
      <c r="S12" s="172"/>
      <c r="T12" s="173"/>
      <c r="U12" s="228">
        <v>0</v>
      </c>
      <c r="W12" s="203"/>
      <c r="X12" s="203"/>
      <c r="Y12" s="203"/>
    </row>
    <row r="13" spans="2:25" ht="18.600000000000001">
      <c r="B13" s="85"/>
      <c r="C13" s="85"/>
      <c r="E13" s="172"/>
      <c r="F13" s="172"/>
      <c r="G13" s="172"/>
      <c r="H13" s="172"/>
      <c r="I13" s="172"/>
      <c r="J13" s="172"/>
      <c r="K13" s="173"/>
      <c r="L13" s="228"/>
      <c r="N13" s="172"/>
      <c r="O13" s="172"/>
      <c r="P13" s="172"/>
      <c r="Q13" s="172"/>
      <c r="R13" s="172"/>
      <c r="S13" s="172"/>
      <c r="T13" s="173"/>
      <c r="U13" s="228"/>
      <c r="W13" s="203"/>
      <c r="X13" s="203"/>
      <c r="Y13" s="203"/>
    </row>
    <row r="14" spans="2:25" ht="18.600000000000001">
      <c r="B14" s="85" t="s">
        <v>4</v>
      </c>
      <c r="C14" s="85"/>
      <c r="W14" s="40"/>
      <c r="X14" s="40"/>
      <c r="Y14" s="40"/>
    </row>
    <row r="15" spans="2:25" ht="18.600000000000001">
      <c r="B15" s="85"/>
      <c r="C15" s="85"/>
      <c r="W15" s="135" t="s">
        <v>486</v>
      </c>
      <c r="X15" s="135"/>
      <c r="Y15" s="135"/>
    </row>
    <row r="16" spans="2:25" ht="18.600000000000001">
      <c r="B16" s="85" t="s">
        <v>523</v>
      </c>
      <c r="C16" s="85"/>
      <c r="W16" s="135"/>
      <c r="X16" s="135"/>
      <c r="Y16" s="135"/>
    </row>
    <row r="17" spans="2:25" ht="18.600000000000001">
      <c r="B17" s="85"/>
      <c r="C17" s="85"/>
      <c r="N17" s="13"/>
      <c r="W17" s="40"/>
      <c r="X17" s="40"/>
      <c r="Y17" s="40"/>
    </row>
    <row r="18" spans="2:25" ht="18.600000000000001">
      <c r="B18" s="85" t="s">
        <v>432</v>
      </c>
      <c r="C18" s="85"/>
      <c r="E18" s="112" t="s">
        <v>0</v>
      </c>
      <c r="F18" s="112"/>
    </row>
    <row r="19" spans="2:25" ht="18.600000000000001">
      <c r="B19" s="85"/>
      <c r="C19" s="85"/>
      <c r="E19" s="112"/>
      <c r="F19" s="112"/>
    </row>
    <row r="20" spans="2:25" ht="18.600000000000001">
      <c r="B20" s="85" t="s">
        <v>433</v>
      </c>
      <c r="C20" s="85"/>
      <c r="E20" s="241" t="s">
        <v>660</v>
      </c>
      <c r="F20" s="241"/>
      <c r="G20" s="241"/>
      <c r="H20" s="241"/>
      <c r="I20" s="241"/>
      <c r="J20" s="241"/>
      <c r="K20" s="241"/>
      <c r="L20" s="241"/>
      <c r="M20" s="241"/>
      <c r="N20" s="241"/>
      <c r="O20" s="241"/>
      <c r="P20" s="241"/>
    </row>
    <row r="21" spans="2:25" ht="18.600000000000001">
      <c r="B21" s="85"/>
      <c r="C21" s="85"/>
      <c r="E21" s="241"/>
      <c r="F21" s="241"/>
      <c r="G21" s="241"/>
      <c r="H21" s="241"/>
      <c r="I21" s="241"/>
      <c r="J21" s="241"/>
      <c r="K21" s="241"/>
      <c r="L21" s="241"/>
      <c r="M21" s="241"/>
      <c r="N21" s="241"/>
      <c r="O21" s="241"/>
      <c r="P21" s="241"/>
    </row>
    <row r="22" spans="2:25">
      <c r="E22" s="241"/>
      <c r="F22" s="241"/>
      <c r="G22" s="241"/>
      <c r="H22" s="241"/>
      <c r="I22" s="241"/>
      <c r="J22" s="241"/>
      <c r="K22" s="241"/>
      <c r="L22" s="241"/>
      <c r="M22" s="241"/>
      <c r="N22" s="241"/>
      <c r="O22" s="241"/>
      <c r="P22" s="241"/>
    </row>
    <row r="23" spans="2:25" ht="19.2">
      <c r="E23" s="171"/>
      <c r="F23" s="171"/>
      <c r="G23" s="171"/>
      <c r="H23" s="171"/>
      <c r="I23" s="55"/>
    </row>
    <row r="28" spans="2:25">
      <c r="I28" s="13"/>
    </row>
  </sheetData>
  <sheetProtection algorithmName="SHA-512" hashValue="xVWuObCjUIbrpjpORWdak5ewsCcwjsI4rDtyMX1phMkUnn1XZ9/Fwvtu+YPxcr6E8SwjPcfyRpJH2RpKkz7aeg==" saltValue="AKpW57ZAEUg9WlPdhoGaBg==" spinCount="100000" sheet="1" objects="1" scenarios="1"/>
  <mergeCells count="36">
    <mergeCell ref="B21:C21"/>
    <mergeCell ref="B11:C11"/>
    <mergeCell ref="B13:C13"/>
    <mergeCell ref="B15:C15"/>
    <mergeCell ref="B17:C17"/>
    <mergeCell ref="B19:C19"/>
    <mergeCell ref="B16:C16"/>
    <mergeCell ref="B18:C18"/>
    <mergeCell ref="B20:C20"/>
    <mergeCell ref="B14:C14"/>
    <mergeCell ref="E2:Y3"/>
    <mergeCell ref="E10:K11"/>
    <mergeCell ref="L10:L11"/>
    <mergeCell ref="E12:K13"/>
    <mergeCell ref="L12:L13"/>
    <mergeCell ref="N10:T11"/>
    <mergeCell ref="E5:M6"/>
    <mergeCell ref="O4:Q4"/>
    <mergeCell ref="O5:Q6"/>
    <mergeCell ref="B2:C4"/>
    <mergeCell ref="B6:C6"/>
    <mergeCell ref="B8:C8"/>
    <mergeCell ref="B10:C10"/>
    <mergeCell ref="B12:C12"/>
    <mergeCell ref="W15:Y16"/>
    <mergeCell ref="W8:Y13"/>
    <mergeCell ref="E23:H23"/>
    <mergeCell ref="U10:U11"/>
    <mergeCell ref="N12:T13"/>
    <mergeCell ref="U12:U13"/>
    <mergeCell ref="E18:F19"/>
    <mergeCell ref="E20:P22"/>
    <mergeCell ref="E8:K9"/>
    <mergeCell ref="L8:L9"/>
    <mergeCell ref="N8:T9"/>
    <mergeCell ref="U8:U9"/>
  </mergeCells>
  <dataValidations xWindow="1460" yWindow="328"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I23" xr:uid="{7FBCA604-F750-4127-A814-1F2F10B8653F}">
      <formula1>$U$10:$U$12</formula1>
    </dataValidation>
    <dataValidation type="date" allowBlank="1" showInputMessage="1" showErrorMessage="1" promptTitle="Registro de información" prompt="Diligenciar la fecha de diligenciamiento de esta hoja (DD/MM/AAAA)" sqref="O5:Q6"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5:Y16" r:id="rId1" display="Acceder al manual" xr:uid="{66B7A43F-E64C-4718-B58B-DBF1B8DDD54B}"/>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dimension ref="B2:Y26"/>
  <sheetViews>
    <sheetView showRowColHeaders="0" topLeftCell="B1" zoomScaleNormal="100" workbookViewId="0">
      <selection activeCell="E16" sqref="E16:N21"/>
    </sheetView>
  </sheetViews>
  <sheetFormatPr baseColWidth="10" defaultColWidth="11.44140625" defaultRowHeight="14.4"/>
  <cols>
    <col min="1" max="1" width="0" style="2" hidden="1" customWidth="1"/>
    <col min="2" max="3" width="16.33203125" style="4" customWidth="1"/>
    <col min="4" max="14" width="9.109375" style="2" customWidth="1"/>
    <col min="15" max="15" width="9.109375" style="2" hidden="1" customWidth="1"/>
    <col min="16" max="19" width="9.109375" style="2" customWidth="1"/>
    <col min="20" max="21" width="9.109375" style="2" hidden="1" customWidth="1"/>
    <col min="22" max="46" width="9.109375" style="2" customWidth="1"/>
    <col min="47" max="16384" width="11.44140625" style="2"/>
  </cols>
  <sheetData>
    <row r="2" spans="2:25">
      <c r="B2" s="89"/>
      <c r="C2" s="89"/>
      <c r="E2" s="86" t="s">
        <v>432</v>
      </c>
      <c r="F2" s="86"/>
      <c r="G2" s="86"/>
      <c r="H2" s="86"/>
      <c r="I2" s="86"/>
      <c r="J2" s="86"/>
      <c r="K2" s="86"/>
      <c r="L2" s="86"/>
      <c r="M2" s="86"/>
      <c r="N2" s="86"/>
      <c r="O2" s="86"/>
      <c r="P2" s="86"/>
      <c r="Q2" s="86"/>
      <c r="R2" s="86"/>
      <c r="S2" s="86"/>
      <c r="T2" s="86"/>
      <c r="U2" s="86"/>
      <c r="V2" s="86"/>
      <c r="W2" s="86"/>
      <c r="X2" s="86"/>
      <c r="Y2" s="86"/>
    </row>
    <row r="3" spans="2:25" ht="15" thickBot="1">
      <c r="B3" s="89"/>
      <c r="C3" s="89"/>
      <c r="E3" s="87"/>
      <c r="F3" s="87"/>
      <c r="G3" s="87"/>
      <c r="H3" s="87"/>
      <c r="I3" s="87"/>
      <c r="J3" s="87"/>
      <c r="K3" s="87"/>
      <c r="L3" s="87"/>
      <c r="M3" s="87"/>
      <c r="N3" s="87"/>
      <c r="O3" s="87"/>
      <c r="P3" s="87"/>
      <c r="Q3" s="87"/>
      <c r="R3" s="87"/>
      <c r="S3" s="87"/>
      <c r="T3" s="87"/>
      <c r="U3" s="87"/>
      <c r="V3" s="87"/>
      <c r="W3" s="87"/>
      <c r="X3" s="87"/>
      <c r="Y3" s="87"/>
    </row>
    <row r="4" spans="2:25">
      <c r="B4" s="89"/>
      <c r="C4" s="89"/>
      <c r="Q4" s="240" t="s">
        <v>435</v>
      </c>
      <c r="R4" s="240"/>
      <c r="S4" s="240"/>
    </row>
    <row r="5" spans="2:25">
      <c r="Q5" s="97">
        <v>45343</v>
      </c>
      <c r="R5" s="97"/>
      <c r="S5" s="97"/>
    </row>
    <row r="6" spans="2:25" ht="18.600000000000001">
      <c r="B6" s="85" t="s">
        <v>543</v>
      </c>
      <c r="C6" s="85"/>
      <c r="E6" s="201" t="s">
        <v>576</v>
      </c>
      <c r="F6" s="201"/>
      <c r="G6" s="201"/>
      <c r="H6" s="201"/>
      <c r="I6" s="201"/>
      <c r="J6" s="201"/>
      <c r="K6" s="201"/>
      <c r="L6" s="244"/>
      <c r="M6" s="245" t="s">
        <v>527</v>
      </c>
      <c r="N6" s="245"/>
      <c r="Q6" s="97"/>
      <c r="R6" s="97"/>
      <c r="S6" s="97"/>
      <c r="W6" s="43"/>
      <c r="X6" s="43"/>
      <c r="Y6" s="43"/>
    </row>
    <row r="7" spans="2:25">
      <c r="B7" s="3"/>
      <c r="C7" s="3"/>
      <c r="E7" s="201"/>
      <c r="F7" s="201"/>
      <c r="G7" s="201"/>
      <c r="H7" s="201"/>
      <c r="I7" s="201"/>
      <c r="J7" s="201"/>
      <c r="K7" s="201"/>
      <c r="L7" s="244"/>
      <c r="M7" s="245"/>
      <c r="N7" s="245"/>
      <c r="W7" s="203" t="s">
        <v>492</v>
      </c>
      <c r="X7" s="203"/>
      <c r="Y7" s="203"/>
    </row>
    <row r="8" spans="2:25" ht="18.600000000000001">
      <c r="B8" s="85" t="s">
        <v>1</v>
      </c>
      <c r="C8" s="85"/>
      <c r="W8" s="203"/>
      <c r="X8" s="203"/>
      <c r="Y8" s="203"/>
    </row>
    <row r="9" spans="2:25">
      <c r="B9" s="3"/>
      <c r="C9" s="3"/>
      <c r="E9" s="243" t="s">
        <v>577</v>
      </c>
      <c r="F9" s="243"/>
      <c r="G9" s="243"/>
      <c r="H9" s="243"/>
      <c r="I9" s="243"/>
      <c r="J9" s="243"/>
      <c r="K9" s="243"/>
      <c r="L9" s="243"/>
      <c r="M9" s="243"/>
      <c r="N9" s="243"/>
      <c r="W9" s="203"/>
      <c r="X9" s="203"/>
      <c r="Y9" s="203"/>
    </row>
    <row r="10" spans="2:25" ht="18.600000000000001">
      <c r="B10" s="85" t="s">
        <v>2</v>
      </c>
      <c r="C10" s="85"/>
      <c r="E10" s="243"/>
      <c r="F10" s="243"/>
      <c r="G10" s="243"/>
      <c r="H10" s="243"/>
      <c r="I10" s="243"/>
      <c r="J10" s="243"/>
      <c r="K10" s="243"/>
      <c r="L10" s="243"/>
      <c r="M10" s="243"/>
      <c r="N10" s="243"/>
      <c r="W10" s="203"/>
      <c r="X10" s="203"/>
      <c r="Y10" s="203"/>
    </row>
    <row r="11" spans="2:25" ht="18.600000000000001">
      <c r="B11" s="85"/>
      <c r="C11" s="85"/>
      <c r="E11" s="142">
        <v>0</v>
      </c>
      <c r="F11" s="142"/>
      <c r="G11" s="142"/>
      <c r="H11" s="142"/>
      <c r="I11" s="142"/>
      <c r="J11" s="142"/>
      <c r="K11" s="142"/>
      <c r="L11" s="142"/>
      <c r="M11" s="142"/>
      <c r="N11" s="142"/>
      <c r="W11" s="203"/>
      <c r="X11" s="203"/>
      <c r="Y11" s="203"/>
    </row>
    <row r="12" spans="2:25" ht="18.600000000000001">
      <c r="B12" s="85" t="s">
        <v>3</v>
      </c>
      <c r="C12" s="85"/>
      <c r="E12" s="142"/>
      <c r="F12" s="142"/>
      <c r="G12" s="142"/>
      <c r="H12" s="142"/>
      <c r="I12" s="142"/>
      <c r="J12" s="142"/>
      <c r="K12" s="142"/>
      <c r="L12" s="142"/>
      <c r="M12" s="142"/>
      <c r="N12" s="142"/>
      <c r="W12" s="203"/>
      <c r="X12" s="203"/>
      <c r="Y12" s="203"/>
    </row>
    <row r="13" spans="2:25" ht="18.600000000000001">
      <c r="B13" s="85"/>
      <c r="C13" s="85"/>
      <c r="W13" s="40"/>
      <c r="X13" s="40"/>
      <c r="Y13" s="40"/>
    </row>
    <row r="14" spans="2:25" ht="18.600000000000001">
      <c r="B14" s="85" t="s">
        <v>4</v>
      </c>
      <c r="C14" s="85"/>
      <c r="E14" s="189" t="s">
        <v>0</v>
      </c>
      <c r="F14" s="189"/>
      <c r="G14" s="18"/>
      <c r="W14" s="246" t="s">
        <v>486</v>
      </c>
      <c r="X14" s="246"/>
      <c r="Y14" s="246"/>
    </row>
    <row r="15" spans="2:25" ht="19.8">
      <c r="B15" s="85"/>
      <c r="C15" s="85"/>
      <c r="E15" s="189"/>
      <c r="F15" s="189"/>
      <c r="G15" s="18"/>
      <c r="P15" s="171"/>
      <c r="Q15" s="171"/>
      <c r="R15" s="171"/>
      <c r="S15" s="171"/>
      <c r="T15" s="55"/>
      <c r="W15" s="246"/>
      <c r="X15" s="246"/>
      <c r="Y15" s="246"/>
    </row>
    <row r="16" spans="2:25" ht="18.600000000000001">
      <c r="B16" s="85" t="s">
        <v>523</v>
      </c>
      <c r="C16" s="85"/>
      <c r="E16" s="123" t="s">
        <v>661</v>
      </c>
      <c r="F16" s="142"/>
      <c r="G16" s="142"/>
      <c r="H16" s="142"/>
      <c r="I16" s="142"/>
      <c r="J16" s="142"/>
      <c r="K16" s="142"/>
      <c r="L16" s="142"/>
      <c r="M16" s="142"/>
      <c r="N16" s="142"/>
      <c r="W16" s="40"/>
      <c r="X16" s="40"/>
      <c r="Y16" s="40"/>
    </row>
    <row r="17" spans="2:21" ht="18.600000000000001">
      <c r="B17" s="85"/>
      <c r="C17" s="85"/>
      <c r="E17" s="142"/>
      <c r="F17" s="142"/>
      <c r="G17" s="142"/>
      <c r="H17" s="142"/>
      <c r="I17" s="142"/>
      <c r="J17" s="142"/>
      <c r="K17" s="142"/>
      <c r="L17" s="142"/>
      <c r="M17" s="142"/>
      <c r="N17" s="142"/>
    </row>
    <row r="18" spans="2:21" ht="18.600000000000001">
      <c r="B18" s="85" t="s">
        <v>432</v>
      </c>
      <c r="C18" s="85"/>
      <c r="E18" s="142"/>
      <c r="F18" s="142"/>
      <c r="G18" s="142"/>
      <c r="H18" s="142"/>
      <c r="I18" s="142"/>
      <c r="J18" s="142"/>
      <c r="K18" s="142"/>
      <c r="L18" s="142"/>
      <c r="M18" s="142"/>
      <c r="N18" s="142"/>
    </row>
    <row r="19" spans="2:21" ht="18.600000000000001">
      <c r="B19" s="85"/>
      <c r="C19" s="85"/>
      <c r="E19" s="142"/>
      <c r="F19" s="142"/>
      <c r="G19" s="142"/>
      <c r="H19" s="142"/>
      <c r="I19" s="142"/>
      <c r="J19" s="142"/>
      <c r="K19" s="142"/>
      <c r="L19" s="142"/>
      <c r="M19" s="142"/>
      <c r="N19" s="142"/>
    </row>
    <row r="20" spans="2:21" ht="18.600000000000001">
      <c r="B20" s="85" t="s">
        <v>433</v>
      </c>
      <c r="C20" s="85"/>
      <c r="E20" s="142"/>
      <c r="F20" s="142"/>
      <c r="G20" s="142"/>
      <c r="H20" s="142"/>
      <c r="I20" s="142"/>
      <c r="J20" s="142"/>
      <c r="K20" s="142"/>
      <c r="L20" s="142"/>
      <c r="M20" s="142"/>
      <c r="N20" s="142"/>
      <c r="U20" s="13"/>
    </row>
    <row r="21" spans="2:21" ht="18.600000000000001">
      <c r="B21" s="85"/>
      <c r="C21" s="85"/>
      <c r="E21" s="142"/>
      <c r="F21" s="142"/>
      <c r="G21" s="142"/>
      <c r="H21" s="142"/>
      <c r="I21" s="142"/>
      <c r="J21" s="142"/>
      <c r="K21" s="142"/>
      <c r="L21" s="142"/>
      <c r="M21" s="142"/>
      <c r="N21" s="142"/>
    </row>
    <row r="26" spans="2:21">
      <c r="J26" s="13"/>
    </row>
  </sheetData>
  <sheetProtection algorithmName="SHA-512" hashValue="D9NE+qNn0quDcFnutPnBssxasQYP/bhCQN9qxGu0QTaFXyAahOQygbyaGK8H9kjfCuLUMU+8oQ4JqUiQFGXbYw==" saltValue="DNsmHaGYQH17HGp9PgGEVA==" spinCount="100000" sheet="1" objects="1" scenarios="1"/>
  <mergeCells count="27">
    <mergeCell ref="B13:C13"/>
    <mergeCell ref="B15:C15"/>
    <mergeCell ref="E11:N12"/>
    <mergeCell ref="E14:F15"/>
    <mergeCell ref="B21:C21"/>
    <mergeCell ref="W14:Y15"/>
    <mergeCell ref="B16:C16"/>
    <mergeCell ref="B18:C18"/>
    <mergeCell ref="B20:C20"/>
    <mergeCell ref="B17:C17"/>
    <mergeCell ref="B19:C19"/>
    <mergeCell ref="B14:C14"/>
    <mergeCell ref="P15:S15"/>
    <mergeCell ref="E16:N21"/>
    <mergeCell ref="E2:Y3"/>
    <mergeCell ref="E9:N10"/>
    <mergeCell ref="B2:C4"/>
    <mergeCell ref="B6:C6"/>
    <mergeCell ref="B8:C8"/>
    <mergeCell ref="W7:Y12"/>
    <mergeCell ref="E6:L7"/>
    <mergeCell ref="M6:N7"/>
    <mergeCell ref="B10:C10"/>
    <mergeCell ref="B12:C12"/>
    <mergeCell ref="Q4:S4"/>
    <mergeCell ref="Q5:S6"/>
    <mergeCell ref="B11:C11"/>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$J$15:$J$17</formula1>
    </dataValidation>
    <dataValidation type="date" allowBlank="1" showInputMessage="1" showErrorMessage="1" promptTitle="Generación del reporte" prompt="Diligenciar la fecha de diligenciamiento de esta hoja formato DD/MM/AAAA" sqref="Q5:S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4:Y15"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2" id="{559164D5-4C25-40D7-B94E-49C695592D08}">
            <xm:f>Administrador!$B$25="No"</xm:f>
            <x14:dxf>
              <font>
                <color theme="0" tint="-4.9989318521683403E-2"/>
              </font>
              <fill>
                <patternFill>
                  <bgColor theme="0" tint="-4.9989318521683403E-2"/>
                </patternFill>
              </fill>
              <border>
                <left/>
                <right/>
                <top/>
                <bottom/>
              </border>
            </x14:dxf>
          </x14:cfRule>
          <xm:sqref>A1:XFD5 E6 M6 A6:D9 O6:O9 V6:XFD13 E9:N12 A10:O10 A11:D12 O11:O12 A13:O13 E14:J15 A14:D21 O14:XFD21 E16 A22:XFD1048576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M6:N7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dimension ref="A1:CQ4"/>
  <sheetViews>
    <sheetView topLeftCell="CD1" workbookViewId="0">
      <selection activeCell="CO1" sqref="CO1:CQ1"/>
    </sheetView>
  </sheetViews>
  <sheetFormatPr baseColWidth="10" defaultRowHeight="14.4"/>
  <sheetData>
    <row r="1" spans="1:95">
      <c r="A1" t="s">
        <v>543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602</v>
      </c>
      <c r="AP1" t="s">
        <v>602</v>
      </c>
      <c r="AQ1" t="s">
        <v>602</v>
      </c>
      <c r="AR1" t="s">
        <v>602</v>
      </c>
      <c r="AS1" t="s">
        <v>602</v>
      </c>
      <c r="AT1" t="s">
        <v>602</v>
      </c>
      <c r="AU1" t="s">
        <v>602</v>
      </c>
      <c r="AV1" t="s">
        <v>602</v>
      </c>
      <c r="AW1" t="s">
        <v>602</v>
      </c>
      <c r="AX1" t="s">
        <v>602</v>
      </c>
      <c r="AY1" t="s">
        <v>602</v>
      </c>
      <c r="AZ1" t="s">
        <v>602</v>
      </c>
      <c r="BA1" t="s">
        <v>602</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649</v>
      </c>
      <c r="CP1" t="s">
        <v>649</v>
      </c>
      <c r="CQ1" t="s">
        <v>649</v>
      </c>
    </row>
    <row r="2" spans="1:95">
      <c r="C2" t="s">
        <v>589</v>
      </c>
      <c r="D2" t="s">
        <v>589</v>
      </c>
      <c r="E2" t="s">
        <v>589</v>
      </c>
      <c r="F2" t="s">
        <v>589</v>
      </c>
      <c r="G2" t="s">
        <v>590</v>
      </c>
      <c r="H2" t="s">
        <v>590</v>
      </c>
      <c r="I2" t="s">
        <v>590</v>
      </c>
      <c r="J2" t="s">
        <v>590</v>
      </c>
      <c r="K2" t="s">
        <v>432</v>
      </c>
      <c r="L2" t="s">
        <v>432</v>
      </c>
      <c r="M2" t="s">
        <v>432</v>
      </c>
      <c r="N2" t="s">
        <v>432</v>
      </c>
      <c r="O2" t="s">
        <v>591</v>
      </c>
      <c r="P2" t="s">
        <v>591</v>
      </c>
      <c r="Q2" t="s">
        <v>591</v>
      </c>
      <c r="R2" t="s">
        <v>591</v>
      </c>
      <c r="S2" t="s">
        <v>592</v>
      </c>
      <c r="T2" t="s">
        <v>592</v>
      </c>
      <c r="U2" t="s">
        <v>592</v>
      </c>
      <c r="V2" t="s">
        <v>592</v>
      </c>
      <c r="W2" t="s">
        <v>593</v>
      </c>
      <c r="X2" t="s">
        <v>593</v>
      </c>
      <c r="Y2" t="s">
        <v>593</v>
      </c>
      <c r="Z2" t="s">
        <v>593</v>
      </c>
      <c r="AC2" t="s">
        <v>604</v>
      </c>
      <c r="AD2" t="s">
        <v>604</v>
      </c>
      <c r="AE2" t="s">
        <v>604</v>
      </c>
      <c r="AF2" t="s">
        <v>604</v>
      </c>
      <c r="AG2" t="s">
        <v>603</v>
      </c>
      <c r="AH2" t="s">
        <v>603</v>
      </c>
      <c r="AI2" t="s">
        <v>603</v>
      </c>
      <c r="AJ2" t="s">
        <v>597</v>
      </c>
      <c r="AK2" t="s">
        <v>597</v>
      </c>
      <c r="AL2" t="s">
        <v>597</v>
      </c>
      <c r="AM2" t="s">
        <v>597</v>
      </c>
      <c r="AP2" t="s">
        <v>609</v>
      </c>
      <c r="AQ2" t="s">
        <v>609</v>
      </c>
      <c r="AR2" t="s">
        <v>610</v>
      </c>
      <c r="AS2" t="s">
        <v>610</v>
      </c>
      <c r="AT2" t="s">
        <v>610</v>
      </c>
      <c r="AU2" t="s">
        <v>610</v>
      </c>
      <c r="AV2" t="s">
        <v>610</v>
      </c>
      <c r="AW2" t="s">
        <v>610</v>
      </c>
      <c r="AX2" t="s">
        <v>611</v>
      </c>
      <c r="AY2" t="s">
        <v>611</v>
      </c>
      <c r="AZ2" t="s">
        <v>611</v>
      </c>
      <c r="BC2" t="s">
        <v>618</v>
      </c>
      <c r="BD2" t="s">
        <v>618</v>
      </c>
      <c r="BE2" t="s">
        <v>618</v>
      </c>
      <c r="BF2" t="s">
        <v>622</v>
      </c>
      <c r="BG2" t="s">
        <v>622</v>
      </c>
      <c r="BH2" t="s">
        <v>513</v>
      </c>
      <c r="BI2" t="s">
        <v>513</v>
      </c>
      <c r="BJ2" t="s">
        <v>514</v>
      </c>
      <c r="BK2" t="s">
        <v>514</v>
      </c>
      <c r="BL2" t="s">
        <v>514</v>
      </c>
      <c r="BM2" t="s">
        <v>514</v>
      </c>
      <c r="BN2" t="s">
        <v>514</v>
      </c>
      <c r="BO2" t="s">
        <v>628</v>
      </c>
      <c r="BP2" t="s">
        <v>628</v>
      </c>
      <c r="BQ2" t="s">
        <v>628</v>
      </c>
      <c r="BR2" t="s">
        <v>641</v>
      </c>
      <c r="BS2" t="s">
        <v>641</v>
      </c>
      <c r="BT2" t="s">
        <v>641</v>
      </c>
      <c r="BU2" t="s">
        <v>641</v>
      </c>
      <c r="BV2" t="s">
        <v>642</v>
      </c>
      <c r="BW2" t="s">
        <v>642</v>
      </c>
      <c r="BX2" t="s">
        <v>642</v>
      </c>
      <c r="BY2" t="s">
        <v>642</v>
      </c>
      <c r="BZ2" t="s">
        <v>642</v>
      </c>
      <c r="CA2" t="s">
        <v>642</v>
      </c>
      <c r="CB2" t="s">
        <v>642</v>
      </c>
      <c r="CC2" t="s">
        <v>642</v>
      </c>
      <c r="CF2" t="s">
        <v>618</v>
      </c>
      <c r="CG2" t="s">
        <v>618</v>
      </c>
      <c r="CH2" t="s">
        <v>622</v>
      </c>
      <c r="CI2" t="s">
        <v>622</v>
      </c>
    </row>
    <row r="3" spans="1:95">
      <c r="B3" t="s">
        <v>594</v>
      </c>
      <c r="C3" t="s">
        <v>595</v>
      </c>
      <c r="D3" t="s">
        <v>596</v>
      </c>
      <c r="E3" t="s">
        <v>438</v>
      </c>
      <c r="F3" t="s">
        <v>597</v>
      </c>
      <c r="G3" t="s">
        <v>595</v>
      </c>
      <c r="H3" t="s">
        <v>596</v>
      </c>
      <c r="I3" t="s">
        <v>438</v>
      </c>
      <c r="J3" t="s">
        <v>597</v>
      </c>
      <c r="K3" t="s">
        <v>595</v>
      </c>
      <c r="L3" t="s">
        <v>596</v>
      </c>
      <c r="M3" t="s">
        <v>438</v>
      </c>
      <c r="N3" t="s">
        <v>597</v>
      </c>
      <c r="O3" t="s">
        <v>595</v>
      </c>
      <c r="P3" t="s">
        <v>596</v>
      </c>
      <c r="Q3" t="s">
        <v>438</v>
      </c>
      <c r="R3" t="s">
        <v>597</v>
      </c>
      <c r="S3" t="s">
        <v>595</v>
      </c>
      <c r="T3" t="s">
        <v>596</v>
      </c>
      <c r="U3" t="s">
        <v>438</v>
      </c>
      <c r="V3" t="s">
        <v>597</v>
      </c>
      <c r="W3" t="s">
        <v>595</v>
      </c>
      <c r="X3" t="s">
        <v>596</v>
      </c>
      <c r="Y3" t="s">
        <v>438</v>
      </c>
      <c r="Z3" t="s">
        <v>597</v>
      </c>
      <c r="AA3" t="s">
        <v>598</v>
      </c>
      <c r="AB3" t="s">
        <v>435</v>
      </c>
      <c r="AC3" t="s">
        <v>446</v>
      </c>
      <c r="AD3" t="s">
        <v>559</v>
      </c>
      <c r="AE3" t="s">
        <v>558</v>
      </c>
      <c r="AF3" t="s">
        <v>560</v>
      </c>
      <c r="AG3" t="s">
        <v>599</v>
      </c>
      <c r="AH3" t="s">
        <v>600</v>
      </c>
      <c r="AI3" t="s">
        <v>601</v>
      </c>
      <c r="AJ3" t="s">
        <v>588</v>
      </c>
      <c r="AK3" t="s">
        <v>553</v>
      </c>
      <c r="AL3" t="s">
        <v>556</v>
      </c>
      <c r="AM3" t="s">
        <v>554</v>
      </c>
      <c r="AN3" t="s">
        <v>0</v>
      </c>
      <c r="AO3" t="s">
        <v>594</v>
      </c>
      <c r="AP3" t="s">
        <v>605</v>
      </c>
      <c r="AQ3" t="s">
        <v>606</v>
      </c>
      <c r="AR3" t="s">
        <v>612</v>
      </c>
      <c r="AS3" t="s">
        <v>615</v>
      </c>
      <c r="AT3" t="s">
        <v>613</v>
      </c>
      <c r="AU3" t="s">
        <v>616</v>
      </c>
      <c r="AV3" t="s">
        <v>614</v>
      </c>
      <c r="AW3" t="s">
        <v>617</v>
      </c>
      <c r="AX3" t="s">
        <v>607</v>
      </c>
      <c r="AY3" t="s">
        <v>3</v>
      </c>
      <c r="AZ3" t="s">
        <v>608</v>
      </c>
      <c r="BA3" t="s">
        <v>0</v>
      </c>
      <c r="BB3" t="s">
        <v>594</v>
      </c>
      <c r="BC3" t="s">
        <v>619</v>
      </c>
      <c r="BD3" t="s">
        <v>620</v>
      </c>
      <c r="BE3" t="s">
        <v>621</v>
      </c>
      <c r="BF3" t="s">
        <v>619</v>
      </c>
      <c r="BG3" t="s">
        <v>620</v>
      </c>
      <c r="BH3" t="s">
        <v>623</v>
      </c>
      <c r="BI3" t="s">
        <v>624</v>
      </c>
      <c r="BJ3" t="s">
        <v>449</v>
      </c>
      <c r="BK3" t="s">
        <v>450</v>
      </c>
      <c r="BL3" t="s">
        <v>451</v>
      </c>
      <c r="BM3" t="s">
        <v>452</v>
      </c>
      <c r="BN3" t="s">
        <v>453</v>
      </c>
      <c r="BO3" t="s">
        <v>625</v>
      </c>
      <c r="BP3" t="s">
        <v>626</v>
      </c>
      <c r="BQ3" t="s">
        <v>627</v>
      </c>
      <c r="BR3" t="s">
        <v>629</v>
      </c>
      <c r="BS3" t="s">
        <v>630</v>
      </c>
      <c r="BT3" t="s">
        <v>631</v>
      </c>
      <c r="BU3" t="s">
        <v>632</v>
      </c>
      <c r="BV3" t="s">
        <v>633</v>
      </c>
      <c r="BW3" t="s">
        <v>634</v>
      </c>
      <c r="BX3" t="s">
        <v>635</v>
      </c>
      <c r="BY3" t="s">
        <v>636</v>
      </c>
      <c r="BZ3" t="s">
        <v>637</v>
      </c>
      <c r="CA3" t="s">
        <v>638</v>
      </c>
      <c r="CB3" t="s">
        <v>639</v>
      </c>
      <c r="CC3" t="s">
        <v>640</v>
      </c>
      <c r="CD3" t="s">
        <v>0</v>
      </c>
      <c r="CE3" t="s">
        <v>594</v>
      </c>
      <c r="CF3" t="s">
        <v>643</v>
      </c>
      <c r="CG3" t="s">
        <v>644</v>
      </c>
      <c r="CH3" t="s">
        <v>645</v>
      </c>
      <c r="CI3" t="s">
        <v>646</v>
      </c>
      <c r="CJ3" t="s">
        <v>0</v>
      </c>
      <c r="CK3" t="s">
        <v>594</v>
      </c>
      <c r="CL3" t="s">
        <v>647</v>
      </c>
      <c r="CM3" t="s">
        <v>648</v>
      </c>
      <c r="CN3" t="s">
        <v>0</v>
      </c>
      <c r="CO3" t="s">
        <v>5</v>
      </c>
      <c r="CP3" t="s">
        <v>651</v>
      </c>
      <c r="CQ3" t="s">
        <v>650</v>
      </c>
    </row>
    <row r="4" spans="1:95">
      <c r="A4" t="str">
        <f>Portada!I6</f>
        <v>II - 2024</v>
      </c>
      <c r="B4">
        <f>+Usuarios!Q6</f>
        <v>45709</v>
      </c>
      <c r="C4" t="str">
        <f>+Usuarios!$H$12</f>
        <v>Si</v>
      </c>
      <c r="D4">
        <f>+Usuarios!$J$12</f>
        <v>43885</v>
      </c>
      <c r="E4" t="str">
        <f>+Usuarios!$M$12</f>
        <v>JAIRO ALBERTO SERRATO ROMERO</v>
      </c>
      <c r="F4">
        <f>+Usuarios!$Q$12</f>
        <v>44733</v>
      </c>
      <c r="G4" t="str">
        <f>+Usuarios!$H$14</f>
        <v>Si</v>
      </c>
      <c r="H4" s="78">
        <f>+Usuarios!$J$14</f>
        <v>45512</v>
      </c>
      <c r="I4" t="str">
        <f>+Usuarios!$M$14</f>
        <v>DIANA CAROLINA RODRIGUEZ RINCON</v>
      </c>
      <c r="J4" s="78">
        <f>+Usuarios!$Q$14</f>
        <v>45567</v>
      </c>
      <c r="K4" t="str">
        <f>+Usuarios!$H$16</f>
        <v>Si</v>
      </c>
      <c r="L4">
        <f>+Usuarios!$J$16</f>
        <v>43887</v>
      </c>
      <c r="M4" t="str">
        <f>+Usuarios!$M$16</f>
        <v>ALBA MARINA VANEGAS DUARTE</v>
      </c>
      <c r="N4">
        <f>+Usuarios!$Q$16</f>
        <v>44733</v>
      </c>
      <c r="O4" t="str">
        <f>+Usuarios!$H$18</f>
        <v>Si</v>
      </c>
      <c r="P4">
        <f>+Usuarios!$J$18</f>
        <v>45348</v>
      </c>
      <c r="Q4" t="str">
        <f>+Usuarios!$M$18</f>
        <v>YESID HERNANDO MARÍN CORBA</v>
      </c>
      <c r="R4">
        <f>+Usuarios!$Q$18</f>
        <v>45512</v>
      </c>
      <c r="S4" t="str">
        <f>+Usuarios!$H$20</f>
        <v>Si</v>
      </c>
      <c r="T4">
        <f>+Usuarios!$J$20</f>
        <v>45176</v>
      </c>
      <c r="U4" t="str">
        <f>+Usuarios!$M$20</f>
        <v xml:space="preserve">SANDRA IBETH RIVERA RUBIO </v>
      </c>
      <c r="V4">
        <f>+Usuarios!$Q$20</f>
        <v>45526</v>
      </c>
      <c r="W4" t="str">
        <f>+Usuarios!$H$22</f>
        <v>Si</v>
      </c>
      <c r="X4">
        <f>+Usuarios!$J$22</f>
        <v>45428</v>
      </c>
      <c r="Y4" t="str">
        <f>+Usuarios!$M$22</f>
        <v>DIANA CAROLINA RODRIGUEZ RINCON</v>
      </c>
      <c r="Z4">
        <f>+Usuarios!$Q$22</f>
        <v>45567</v>
      </c>
      <c r="AA4">
        <f>+Usuarios!E28</f>
        <v>0</v>
      </c>
      <c r="AB4">
        <f>+Abogados!Q6</f>
        <v>45712</v>
      </c>
      <c r="AC4">
        <f>+Abogados!E9</f>
        <v>2</v>
      </c>
      <c r="AD4">
        <f>+Abogados!H9</f>
        <v>2</v>
      </c>
      <c r="AE4">
        <f>+Abogados!K9</f>
        <v>1</v>
      </c>
      <c r="AF4">
        <f>+Abogados!N9</f>
        <v>0</v>
      </c>
      <c r="AG4">
        <f>+Abogados!I19</f>
        <v>2</v>
      </c>
      <c r="AH4">
        <f>+Abogados!I21</f>
        <v>2</v>
      </c>
      <c r="AI4">
        <f>+Abogados!I23</f>
        <v>2</v>
      </c>
      <c r="AJ4">
        <f>+Abogados!Q19</f>
        <v>2</v>
      </c>
      <c r="AK4">
        <f>+Abogados!Q21</f>
        <v>0</v>
      </c>
      <c r="AL4">
        <f>+Abogados!Q23</f>
        <v>0</v>
      </c>
      <c r="AM4">
        <f>+Abogados!Q25</f>
        <v>0</v>
      </c>
      <c r="AN4" t="str">
        <f>+Abogados!E30</f>
        <v>Es importante señalar que, la abogada Martha Mireya Pabón Paez, se inactivo el 27 de enero de 2025, esto según lo verificado en el sistema eKOGUI.</v>
      </c>
      <c r="AO4">
        <f>+'Comité de conciliación'!P6</f>
        <v>45712</v>
      </c>
      <c r="AP4" t="str">
        <f>+'Comité de conciliación'!N8</f>
        <v>Si</v>
      </c>
      <c r="AQ4" t="str">
        <f>+'Comité de conciliación'!N10</f>
        <v>Si</v>
      </c>
      <c r="AR4">
        <f>+'Comité de conciliación'!J15</f>
        <v>0</v>
      </c>
      <c r="AS4">
        <f>+'Comité de conciliación'!L15</f>
        <v>0</v>
      </c>
      <c r="AT4">
        <f>+'Comité de conciliación'!J16</f>
        <v>4</v>
      </c>
      <c r="AU4">
        <f>+'Comité de conciliación'!L16</f>
        <v>0</v>
      </c>
      <c r="AV4">
        <f>+'Comité de conciliación'!J17</f>
        <v>0</v>
      </c>
      <c r="AW4">
        <f>+'Comité de conciliación'!L17</f>
        <v>0</v>
      </c>
      <c r="AX4">
        <f>+'Comité de conciliación'!J20</f>
        <v>0</v>
      </c>
      <c r="AY4">
        <f>+'Comité de conciliación'!J21</f>
        <v>4</v>
      </c>
      <c r="AZ4">
        <f>+'Comité de conciliación'!J22</f>
        <v>0</v>
      </c>
      <c r="BA4" t="str">
        <f>+'Comité de conciliación'!E27</f>
        <v xml:space="preserve">Según la información dada por la Oficina Jurídica, una de las fichas se subió al eKOGUI
 como anexo de sesión, pero no se tramitó en el sistema, puesto que se estudió la procedencia de la acción de repetición por un fallo emanado de una acción de tutela y aunque, se solicitó a la abogada externa Martha Pabón realizar la ficha en el sistema no le fue posible porque el sistema no admite procesos tutelas. </v>
      </c>
      <c r="BB4">
        <f>+Judiciales!S7</f>
        <v>45709</v>
      </c>
      <c r="BC4">
        <f>+Judiciales!L11</f>
        <v>50</v>
      </c>
      <c r="BD4">
        <f>+Judiciales!L13</f>
        <v>50</v>
      </c>
      <c r="BE4">
        <f>+Judiciales!L15</f>
        <v>0</v>
      </c>
      <c r="BF4">
        <f>+Judiciales!L20</f>
        <v>2</v>
      </c>
      <c r="BG4">
        <f>+Judiciales!L22</f>
        <v>2</v>
      </c>
      <c r="BH4">
        <f>+Judiciales!L27</f>
        <v>133</v>
      </c>
      <c r="BI4">
        <f>+Judiciales!L29</f>
        <v>9</v>
      </c>
      <c r="BJ4">
        <f>+Judiciales!L39</f>
        <v>2</v>
      </c>
      <c r="BK4">
        <f>+Judiciales!L41</f>
        <v>1</v>
      </c>
      <c r="BL4">
        <f>+Judiciales!L43</f>
        <v>0</v>
      </c>
      <c r="BM4">
        <f>+Judiciales!L45</f>
        <v>0</v>
      </c>
      <c r="BN4">
        <f>+Judiciales!L47</f>
        <v>0</v>
      </c>
      <c r="BO4">
        <f>+Judiciales!U14</f>
        <v>0</v>
      </c>
      <c r="BP4">
        <f>+Judiciales!U16</f>
        <v>0</v>
      </c>
      <c r="BQ4">
        <f>+Judiciales!U18</f>
        <v>0</v>
      </c>
      <c r="BR4">
        <f>+Judiciales!U23</f>
        <v>18</v>
      </c>
      <c r="BS4">
        <f>+Judiciales!U25</f>
        <v>16</v>
      </c>
      <c r="BT4">
        <f>+Judiciales!U27</f>
        <v>1</v>
      </c>
      <c r="BU4">
        <f>+Judiciales!U29</f>
        <v>1</v>
      </c>
      <c r="BV4">
        <f>+Judiciales!S34</f>
        <v>3</v>
      </c>
      <c r="BW4">
        <f>+Judiciales!T34</f>
        <v>0</v>
      </c>
      <c r="BX4">
        <f>+Judiciales!S36</f>
        <v>3</v>
      </c>
      <c r="BY4">
        <f>+Judiciales!T36</f>
        <v>3</v>
      </c>
      <c r="BZ4">
        <f>+Judiciales!S38</f>
        <v>11</v>
      </c>
      <c r="CA4">
        <f>+Judiciales!T38</f>
        <v>11</v>
      </c>
      <c r="CB4">
        <f>+Judiciales!S40</f>
        <v>0</v>
      </c>
      <c r="CC4">
        <f>+Judiciales!T40</f>
        <v>0</v>
      </c>
      <c r="CD4" t="str">
        <f>+Judiciales!N45</f>
        <v>Al hacer la verificación en el sistema de los procesos judiciales, se encontró  1 
proceso con calificación del riesgo desactualizado y otros sin calificación, esto correspondiente a los ID eKOGUI 2374279 y 2567505. Cabe resaltar que, la calificación del riesgo se debe realizar con una periodicidad NO mayor a 6 meses, por este motivo, es importante que se haga la calificación pertinente a los procesos en mención.</v>
      </c>
      <c r="CE4">
        <f>+Arbitramentos!O5</f>
        <v>45346</v>
      </c>
      <c r="CF4">
        <f>+Arbitramentos!L10</f>
        <v>0</v>
      </c>
      <c r="CG4">
        <f>+Arbitramentos!L12</f>
        <v>0</v>
      </c>
      <c r="CH4">
        <f>+Arbitramentos!U10</f>
        <v>0</v>
      </c>
      <c r="CI4">
        <f>+Arbitramentos!U12</f>
        <v>0</v>
      </c>
      <c r="CJ4" t="str">
        <f>+Arbitramentos!E20</f>
        <v>La Universidad Pedagógica Nacional no llevo procesos arbitrales en el segundo semestre de la vigencia 2024.</v>
      </c>
      <c r="CK4">
        <f>+Pagos!Q5</f>
        <v>45343</v>
      </c>
      <c r="CL4" t="str">
        <f>+Pagos!M6</f>
        <v>NO</v>
      </c>
      <c r="CM4">
        <f>+Pagos!E11</f>
        <v>0</v>
      </c>
      <c r="CN4" t="str">
        <f>+Pagos!E16</f>
        <v>La Universidad Pedagógica Nacional, no es sección presupuestal del Ministerio de Hacienda, 
por lo que no tiene ningún manejo con el SIIF, no tiene enlace de pagos para utilizar este módulo.</v>
      </c>
      <c r="CO4" t="str">
        <f>+Resumen!E9</f>
        <v>UNIVERSIDAD PEDAGOGICA NACIONAL-UPN</v>
      </c>
      <c r="CP4">
        <f>+Resumen!E10</f>
        <v>0</v>
      </c>
      <c r="CQ4">
        <f>+Para_consolidar!R14</f>
        <v>0</v>
      </c>
    </row>
  </sheetData>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Comité de conciliación</vt:lpstr>
      <vt:lpstr>Judiciales</vt:lpstr>
      <vt:lpstr>Arbitramentos</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Nathalia</cp:lastModifiedBy>
  <cp:revision/>
  <cp:lastPrinted>2025-02-25T16:11:01Z</cp:lastPrinted>
  <dcterms:created xsi:type="dcterms:W3CDTF">2020-06-25T21:16:25Z</dcterms:created>
  <dcterms:modified xsi:type="dcterms:W3CDTF">2025-02-26T03:18:31Z</dcterms:modified>
  <cp:category/>
  <cp:contentStatus/>
</cp:coreProperties>
</file>